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เทศบาลตำบลทุ่งหลวง\งานเทศบาลตำบลทุ่งหลวง\งานประมาณราคาเทศบาลตำบลทุ่งหลวง\ราคากลางเทศบัญญัติ 69\"/>
    </mc:Choice>
  </mc:AlternateContent>
  <bookViews>
    <workbookView xWindow="0" yWindow="0" windowWidth="16644" windowHeight="9948" tabRatio="808" firstSheet="9" activeTab="10"/>
  </bookViews>
  <sheets>
    <sheet name="ปกงวด" sheetId="55" r:id="rId1"/>
    <sheet name="งวดงาน" sheetId="53" r:id="rId2"/>
    <sheet name="งวดงาน ส" sheetId="52" r:id="rId3"/>
    <sheet name="ค่า K" sheetId="54" r:id="rId4"/>
    <sheet name="ปกเฉพาะ" sheetId="38" r:id="rId5"/>
    <sheet name="เฉพาะแห่ง" sheetId="37" r:id="rId6"/>
    <sheet name="ปกราคา" sheetId="36" r:id="rId7"/>
    <sheet name="แบบ ปร.5" sheetId="4" state="hidden" r:id="rId8"/>
    <sheet name="แบบ ปร.6" sheetId="5" state="hidden" r:id="rId9"/>
    <sheet name="ปร.6" sheetId="32" r:id="rId10"/>
    <sheet name="ปร.5" sheetId="42" r:id="rId11"/>
    <sheet name="ปร.5 (2)" sheetId="50" r:id="rId12"/>
    <sheet name="ปร.5-2" sheetId="33" r:id="rId13"/>
    <sheet name="921001" sheetId="28" r:id="rId14"/>
    <sheet name="รั้ว" sheetId="51" r:id="rId15"/>
    <sheet name="911043" sheetId="17" r:id="rId16"/>
    <sheet name="ประสานปากบ่อ" sheetId="19" r:id="rId17"/>
    <sheet name="งานดิน" sheetId="23" r:id="rId18"/>
    <sheet name="ทดสอบดิน" sheetId="6" r:id="rId19"/>
    <sheet name="ไฟฟ้าใน" sheetId="34" r:id="rId20"/>
    <sheet name="บ่อบาดาล " sheetId="49" r:id="rId21"/>
    <sheet name="สบน.10-1007" sheetId="47" r:id="rId22"/>
    <sheet name="สบจ.10-2015" sheetId="31" r:id="rId23"/>
    <sheet name="ท่อส่งน้ำดิบ" sheetId="14" r:id="rId24"/>
    <sheet name="ท่อจ่ายน้ำ" sheetId="26" r:id="rId25"/>
    <sheet name="เครื่องสูบน้ำบาดาล" sheetId="15" r:id="rId26"/>
    <sheet name="ไฟฟ้า" sheetId="20" state="hidden" r:id="rId27"/>
    <sheet name="เครื่องมือฯประปา" sheetId="22" r:id="rId28"/>
    <sheet name="กรด-ด่าง" sheetId="24" r:id="rId29"/>
    <sheet name="ไฟฟ้านอก" sheetId="56" r:id="rId30"/>
    <sheet name="FACTOR F" sheetId="1" r:id="rId31"/>
    <sheet name=" อำนวยการ 1" sheetId="2" r:id="rId32"/>
    <sheet name="ดอกเบี้ย,กำไร" sheetId="3" r:id="rId33"/>
    <sheet name="Sheet1" sheetId="57" r:id="rId34"/>
  </sheets>
  <externalReferences>
    <externalReference r:id="rId35"/>
    <externalReference r:id="rId36"/>
    <externalReference r:id="rId37"/>
    <externalReference r:id="rId38"/>
  </externalReferences>
  <definedNames>
    <definedName name="_xlnm.Print_Area" localSheetId="15">'911043'!$A$1:$K$35</definedName>
    <definedName name="_xlnm.Print_Area" localSheetId="13">'921001'!$A$1:$K$23</definedName>
    <definedName name="_xlnm.Print_Area" localSheetId="28">'กรด-ด่าง'!$A$1:$K$17</definedName>
    <definedName name="_xlnm.Print_Area" localSheetId="27">เครื่องมือฯประปา!$A$1:$K$33</definedName>
    <definedName name="_xlnm.Print_Area" localSheetId="25">เครื่องสูบน้ำบาดาล!$A$1:$K$29</definedName>
    <definedName name="_xlnm.Print_Area" localSheetId="17">งานดิน!$A$1:$K$17</definedName>
    <definedName name="_xlnm.Print_Area" localSheetId="5">เฉพาะแห่ง!$A$1:$U$791</definedName>
    <definedName name="_xlnm.Print_Area" localSheetId="18">ทดสอบดิน!$A$1:$K$17</definedName>
    <definedName name="_xlnm.Print_Area" localSheetId="24">ท่อจ่ายน้ำ!$A$1:$K$36</definedName>
    <definedName name="_xlnm.Print_Area" localSheetId="23">ท่อส่งน้ำดิบ!$A$1:$K$27</definedName>
    <definedName name="_xlnm.Print_Area" localSheetId="20">'บ่อบาดาล '!$A$1:$K$28</definedName>
    <definedName name="_xlnm.Print_Area" localSheetId="7">'แบบ ปร.5'!$A$1:$G$38</definedName>
    <definedName name="_xlnm.Print_Area" localSheetId="10">ปร.5!$A$1:$N$45</definedName>
    <definedName name="_xlnm.Print_Area" localSheetId="11">'ปร.5 (2)'!$A$1:$N$38</definedName>
    <definedName name="_xlnm.Print_Area" localSheetId="12">'ปร.5-2'!$A$1:$N$35</definedName>
    <definedName name="_xlnm.Print_Area" localSheetId="16">ประสานปากบ่อ!$A$1:$K$30</definedName>
    <definedName name="_xlnm.Print_Area" localSheetId="29">ไฟฟ้านอก!$A$1:$K$26</definedName>
    <definedName name="_xlnm.Print_Area" localSheetId="19">ไฟฟ้าใน!$A$1:$K$28</definedName>
    <definedName name="_xlnm.Print_Area" localSheetId="14">รั้ว!$A$1:$K$62</definedName>
    <definedName name="_xlnm.Print_Area" localSheetId="22">'สบจ.10-2015'!$A$1:$K$70</definedName>
    <definedName name="_xlnm.Print_Area" localSheetId="21">'สบน.10-1007'!$A$1:$K$35</definedName>
    <definedName name="_xlnm.Print_Titles" localSheetId="15">'911043'!$1:$8</definedName>
    <definedName name="_xlnm.Print_Titles" localSheetId="13">'921001'!$1:$8</definedName>
    <definedName name="_xlnm.Print_Titles" localSheetId="28">'กรด-ด่าง'!$1:$8</definedName>
    <definedName name="_xlnm.Print_Titles" localSheetId="18">ทดสอบดิน!$1:$8</definedName>
    <definedName name="_xlnm.Print_Titles" localSheetId="24">ท่อจ่ายน้ำ!$1:$8</definedName>
    <definedName name="_xlnm.Print_Titles" localSheetId="23">ท่อส่งน้ำดิบ!$1:$8</definedName>
    <definedName name="_xlnm.Print_Titles" localSheetId="14">รั้ว!$1:$8</definedName>
    <definedName name="_xlnm.Print_Titles" localSheetId="22">'สบจ.10-2015'!$1:$8</definedName>
    <definedName name="_xlnm.Print_Titles" localSheetId="21">'สบน.10-1007'!$1:$8</definedName>
  </definedNames>
  <calcPr calcId="152511"/>
</workbook>
</file>

<file path=xl/calcChain.xml><?xml version="1.0" encoding="utf-8"?>
<calcChain xmlns="http://schemas.openxmlformats.org/spreadsheetml/2006/main">
  <c r="J24" i="49" l="1"/>
  <c r="J66" i="31"/>
  <c r="G66" i="31"/>
  <c r="J37" i="31"/>
  <c r="G37" i="31"/>
  <c r="G31" i="47"/>
  <c r="G24" i="49"/>
  <c r="J31" i="17"/>
  <c r="G31" i="17"/>
  <c r="J16" i="42" l="1"/>
  <c r="J17" i="42"/>
  <c r="J18" i="42"/>
  <c r="J19" i="42"/>
  <c r="J21" i="42"/>
  <c r="J23" i="42"/>
  <c r="J24" i="42"/>
  <c r="J34" i="26"/>
  <c r="J24" i="14"/>
  <c r="J32" i="47"/>
  <c r="J25" i="49"/>
  <c r="J20" i="42" s="1"/>
  <c r="J26" i="34"/>
  <c r="J27" i="19"/>
  <c r="J32" i="17"/>
  <c r="J15" i="42" s="1"/>
  <c r="G11" i="26" l="1"/>
  <c r="J31" i="47"/>
  <c r="J17" i="47"/>
  <c r="J23" i="49"/>
  <c r="J26" i="19"/>
  <c r="G9" i="26" l="1"/>
  <c r="I9" i="26"/>
  <c r="J9" i="26" s="1"/>
  <c r="G10" i="26"/>
  <c r="I10" i="26"/>
  <c r="J10" i="26" s="1"/>
  <c r="I12" i="26"/>
  <c r="I13" i="26"/>
  <c r="I14" i="26"/>
  <c r="I15" i="26"/>
  <c r="G15" i="26"/>
  <c r="J15" i="26"/>
  <c r="J16" i="26"/>
  <c r="I16" i="26"/>
  <c r="G16" i="26"/>
  <c r="I17" i="26"/>
  <c r="J17" i="26"/>
  <c r="G17" i="26"/>
  <c r="G18" i="26"/>
  <c r="I18" i="26"/>
  <c r="J18" i="26"/>
  <c r="I19" i="26"/>
  <c r="I20" i="26"/>
  <c r="J20" i="26"/>
  <c r="I21" i="26"/>
  <c r="I22" i="26"/>
  <c r="I23" i="26"/>
  <c r="I24" i="26"/>
  <c r="I25" i="26"/>
  <c r="I26" i="26"/>
  <c r="I27" i="26"/>
  <c r="I28" i="26"/>
  <c r="J25" i="26"/>
  <c r="J26" i="26"/>
  <c r="J27" i="26"/>
  <c r="I11" i="26"/>
  <c r="G31" i="26"/>
  <c r="G32" i="26"/>
  <c r="J14" i="19" l="1"/>
  <c r="L11" i="26" l="1"/>
  <c r="N29" i="17"/>
  <c r="B26" i="50"/>
  <c r="B33" i="42"/>
  <c r="B22" i="32"/>
  <c r="K29" i="42" l="1"/>
  <c r="G48" i="31" l="1"/>
  <c r="J48" i="31" s="1"/>
  <c r="G49" i="31"/>
  <c r="J49" i="31" s="1"/>
  <c r="G47" i="31"/>
  <c r="J47" i="31" s="1"/>
  <c r="Q30" i="17"/>
  <c r="S30" i="17" s="1"/>
  <c r="P30" i="17"/>
  <c r="O30" i="17"/>
  <c r="N30" i="17"/>
  <c r="L30" i="17"/>
  <c r="I30" i="17"/>
  <c r="G30" i="17"/>
  <c r="J30" i="17" s="1"/>
  <c r="O29" i="17"/>
  <c r="P29" i="17" s="1"/>
  <c r="Q29" i="17" s="1"/>
  <c r="S29" i="17" s="1"/>
  <c r="L29" i="17"/>
  <c r="I29" i="17"/>
  <c r="G29" i="17"/>
  <c r="J29" i="17" s="1"/>
  <c r="L28" i="17"/>
  <c r="I28" i="17"/>
  <c r="G28" i="17"/>
  <c r="L27" i="17"/>
  <c r="I27" i="17"/>
  <c r="J27" i="17" s="1"/>
  <c r="G27" i="17"/>
  <c r="L26" i="17"/>
  <c r="I26" i="17"/>
  <c r="G26" i="17"/>
  <c r="J26" i="17" s="1"/>
  <c r="J28" i="17" l="1"/>
  <c r="Q25" i="42"/>
  <c r="G30" i="47" l="1"/>
  <c r="J30" i="47" s="1"/>
  <c r="K24" i="42" l="1"/>
  <c r="K23" i="42"/>
  <c r="K22" i="42"/>
  <c r="K21" i="42"/>
  <c r="K20" i="42"/>
  <c r="K19" i="42"/>
  <c r="K18" i="42"/>
  <c r="L18" i="42" s="1"/>
  <c r="K17" i="42"/>
  <c r="K16" i="42"/>
  <c r="G19" i="15" l="1"/>
  <c r="J19" i="15" s="1"/>
  <c r="B10" i="32" l="1"/>
  <c r="J14" i="26" l="1"/>
  <c r="G14" i="26"/>
  <c r="G19" i="26" l="1"/>
  <c r="J19" i="26" s="1"/>
  <c r="G20" i="26"/>
  <c r="L20" i="26"/>
  <c r="N20" i="26"/>
  <c r="S20" i="26" s="1"/>
  <c r="O20" i="26"/>
  <c r="P20" i="26"/>
  <c r="Q20" i="26" s="1"/>
  <c r="G30" i="26"/>
  <c r="J30" i="26" s="1"/>
  <c r="G13" i="17"/>
  <c r="J13" i="17" s="1"/>
  <c r="G14" i="17"/>
  <c r="J14" i="17" s="1"/>
  <c r="G15" i="17"/>
  <c r="J15" i="17" s="1"/>
  <c r="I26" i="47" l="1"/>
  <c r="G25" i="47"/>
  <c r="J25" i="47" s="1"/>
  <c r="G26" i="47"/>
  <c r="G27" i="47"/>
  <c r="J27" i="47" s="1"/>
  <c r="G28" i="47"/>
  <c r="J28" i="47" s="1"/>
  <c r="G29" i="47"/>
  <c r="J29" i="47" s="1"/>
  <c r="G24" i="47"/>
  <c r="J24" i="47" s="1"/>
  <c r="I23" i="47"/>
  <c r="G23" i="47"/>
  <c r="J26" i="47" l="1"/>
  <c r="J23" i="47"/>
  <c r="G29" i="26"/>
  <c r="J29" i="26" s="1"/>
  <c r="C1" i="26"/>
  <c r="A3" i="26"/>
  <c r="A4" i="26"/>
  <c r="H5" i="26"/>
  <c r="G23" i="26"/>
  <c r="J23" i="26" s="1"/>
  <c r="G24" i="26"/>
  <c r="J24" i="26" s="1"/>
  <c r="G21" i="26"/>
  <c r="J21" i="26" s="1"/>
  <c r="G22" i="26" l="1"/>
  <c r="J22" i="26" s="1"/>
  <c r="L10" i="32" l="1"/>
  <c r="H5" i="17"/>
  <c r="D14" i="31"/>
  <c r="G14" i="31" s="1"/>
  <c r="I17" i="34"/>
  <c r="G17" i="34"/>
  <c r="J17" i="34" s="1"/>
  <c r="I18" i="56" l="1"/>
  <c r="G18" i="56"/>
  <c r="J18" i="56" s="1"/>
  <c r="I17" i="56"/>
  <c r="G17" i="56"/>
  <c r="J17" i="56" s="1"/>
  <c r="I16" i="56"/>
  <c r="G16" i="56"/>
  <c r="I15" i="56"/>
  <c r="G15" i="56"/>
  <c r="J15" i="56" s="1"/>
  <c r="I11" i="56"/>
  <c r="G11" i="56"/>
  <c r="G23" i="56" s="1"/>
  <c r="J21" i="34"/>
  <c r="I21" i="34"/>
  <c r="G21" i="34"/>
  <c r="I20" i="34"/>
  <c r="G20" i="34"/>
  <c r="J20" i="34" s="1"/>
  <c r="I19" i="34"/>
  <c r="G19" i="34"/>
  <c r="I18" i="34"/>
  <c r="G18" i="34"/>
  <c r="J18" i="34" s="1"/>
  <c r="I15" i="34"/>
  <c r="G15" i="34"/>
  <c r="I14" i="34"/>
  <c r="G14" i="34"/>
  <c r="I13" i="34"/>
  <c r="G13" i="34"/>
  <c r="I12" i="34"/>
  <c r="G12" i="34"/>
  <c r="J12" i="34" s="1"/>
  <c r="I11" i="34"/>
  <c r="G11" i="34"/>
  <c r="I10" i="34"/>
  <c r="G10" i="34"/>
  <c r="J14" i="34" l="1"/>
  <c r="I23" i="56"/>
  <c r="J11" i="34"/>
  <c r="J19" i="34"/>
  <c r="J16" i="56"/>
  <c r="J23" i="56"/>
  <c r="J24" i="56" s="1"/>
  <c r="J11" i="56"/>
  <c r="G25" i="34"/>
  <c r="J13" i="34"/>
  <c r="J15" i="34"/>
  <c r="I25" i="34"/>
  <c r="J10" i="34"/>
  <c r="I23" i="49"/>
  <c r="G23" i="49"/>
  <c r="F21" i="49"/>
  <c r="G21" i="49" s="1"/>
  <c r="F11" i="49"/>
  <c r="G11" i="49" s="1"/>
  <c r="I20" i="47"/>
  <c r="G20" i="47"/>
  <c r="I18" i="47"/>
  <c r="G18" i="47"/>
  <c r="I17" i="47"/>
  <c r="G17" i="47"/>
  <c r="I15" i="47"/>
  <c r="G15" i="47"/>
  <c r="I13" i="47"/>
  <c r="G13" i="47"/>
  <c r="I12" i="47"/>
  <c r="G12" i="47"/>
  <c r="I10" i="47"/>
  <c r="G10" i="47"/>
  <c r="I22" i="49"/>
  <c r="G22" i="49"/>
  <c r="I20" i="49"/>
  <c r="G20" i="49"/>
  <c r="I19" i="49"/>
  <c r="G19" i="49"/>
  <c r="I18" i="49"/>
  <c r="G18" i="49"/>
  <c r="I17" i="49"/>
  <c r="G17" i="49"/>
  <c r="J17" i="49" s="1"/>
  <c r="I16" i="49"/>
  <c r="G16" i="49"/>
  <c r="I15" i="49"/>
  <c r="G15" i="49"/>
  <c r="J15" i="49" s="1"/>
  <c r="I14" i="49"/>
  <c r="G14" i="49"/>
  <c r="I13" i="49"/>
  <c r="G13" i="49"/>
  <c r="I12" i="49"/>
  <c r="I11" i="49"/>
  <c r="I10" i="49"/>
  <c r="G10" i="49"/>
  <c r="I9" i="49"/>
  <c r="G9" i="49"/>
  <c r="G24" i="19"/>
  <c r="J24" i="19" s="1"/>
  <c r="I23" i="19"/>
  <c r="G23" i="19"/>
  <c r="G22" i="19"/>
  <c r="J22" i="19" s="1"/>
  <c r="G21" i="19"/>
  <c r="J21" i="19" s="1"/>
  <c r="G20" i="19"/>
  <c r="J20" i="19" s="1"/>
  <c r="G19" i="19"/>
  <c r="J19" i="19" s="1"/>
  <c r="G18" i="19"/>
  <c r="J18" i="19" s="1"/>
  <c r="G17" i="19"/>
  <c r="J17" i="19" s="1"/>
  <c r="G16" i="19"/>
  <c r="J16" i="19" s="1"/>
  <c r="G15" i="19"/>
  <c r="J15" i="19" s="1"/>
  <c r="G14" i="19"/>
  <c r="G13" i="19"/>
  <c r="J13" i="19" s="1"/>
  <c r="G12" i="19"/>
  <c r="J12" i="19" s="1"/>
  <c r="G11" i="19"/>
  <c r="J11" i="19" s="1"/>
  <c r="G10" i="19"/>
  <c r="J10" i="19" s="1"/>
  <c r="I9" i="19"/>
  <c r="G9" i="19"/>
  <c r="H25" i="17"/>
  <c r="F25" i="17"/>
  <c r="G24" i="17"/>
  <c r="J24" i="17" s="1"/>
  <c r="I23" i="17"/>
  <c r="G23" i="17"/>
  <c r="G22" i="17"/>
  <c r="J22" i="17" s="1"/>
  <c r="G21" i="17"/>
  <c r="J21" i="17" s="1"/>
  <c r="G20" i="17"/>
  <c r="J20" i="17" s="1"/>
  <c r="G19" i="17"/>
  <c r="J19" i="17" s="1"/>
  <c r="G18" i="17"/>
  <c r="J18" i="17" s="1"/>
  <c r="G17" i="17"/>
  <c r="J17" i="17" s="1"/>
  <c r="G16" i="17"/>
  <c r="J16" i="17" s="1"/>
  <c r="G12" i="17"/>
  <c r="J12" i="17" s="1"/>
  <c r="G11" i="17"/>
  <c r="J11" i="17" s="1"/>
  <c r="H10" i="17"/>
  <c r="I10" i="17" s="1"/>
  <c r="G10" i="17"/>
  <c r="I9" i="17"/>
  <c r="G9" i="17"/>
  <c r="J13" i="49" l="1"/>
  <c r="I31" i="47"/>
  <c r="J20" i="47"/>
  <c r="J23" i="19"/>
  <c r="J9" i="19"/>
  <c r="J25" i="34"/>
  <c r="I26" i="19"/>
  <c r="J10" i="47"/>
  <c r="J12" i="47"/>
  <c r="J19" i="49"/>
  <c r="J18" i="49"/>
  <c r="J23" i="17"/>
  <c r="J16" i="49"/>
  <c r="J20" i="49"/>
  <c r="J18" i="47"/>
  <c r="J9" i="17"/>
  <c r="G25" i="17"/>
  <c r="G26" i="19"/>
  <c r="J13" i="47"/>
  <c r="J10" i="17"/>
  <c r="J15" i="47"/>
  <c r="J9" i="49"/>
  <c r="J14" i="49"/>
  <c r="J11" i="49"/>
  <c r="J22" i="49"/>
  <c r="J10" i="49"/>
  <c r="G12" i="49"/>
  <c r="J12" i="49" s="1"/>
  <c r="I21" i="49"/>
  <c r="J21" i="49" s="1"/>
  <c r="I25" i="17"/>
  <c r="J25" i="17" s="1"/>
  <c r="L21" i="42" l="1"/>
  <c r="L20" i="42"/>
  <c r="L16" i="42"/>
  <c r="I31" i="17"/>
  <c r="I24" i="49"/>
  <c r="L15" i="42" l="1"/>
  <c r="H34" i="1"/>
  <c r="E34" i="1"/>
  <c r="D34" i="1"/>
  <c r="F34" i="1" s="1"/>
  <c r="G34" i="1" s="1"/>
  <c r="I34" i="1" s="1"/>
  <c r="H33" i="1"/>
  <c r="E33" i="1"/>
  <c r="D33" i="1"/>
  <c r="H32" i="1"/>
  <c r="E32" i="1"/>
  <c r="D32" i="1"/>
  <c r="H31" i="1"/>
  <c r="E31" i="1"/>
  <c r="D31" i="1"/>
  <c r="H30" i="1"/>
  <c r="E30" i="1"/>
  <c r="D30" i="1"/>
  <c r="H29" i="1"/>
  <c r="E29" i="1"/>
  <c r="D29" i="1"/>
  <c r="H28" i="1"/>
  <c r="E28" i="1"/>
  <c r="D28" i="1"/>
  <c r="H27" i="1"/>
  <c r="E27" i="1"/>
  <c r="D27" i="1"/>
  <c r="H26" i="1"/>
  <c r="E26" i="1"/>
  <c r="D26" i="1"/>
  <c r="H25" i="1"/>
  <c r="E25" i="1"/>
  <c r="D25" i="1"/>
  <c r="H24" i="1"/>
  <c r="E24" i="1"/>
  <c r="D24" i="1"/>
  <c r="H23" i="1"/>
  <c r="E23" i="1"/>
  <c r="D23" i="1"/>
  <c r="H22" i="1"/>
  <c r="E22" i="1"/>
  <c r="D22" i="1"/>
  <c r="F22" i="1" s="1"/>
  <c r="G22" i="1" s="1"/>
  <c r="I22" i="1" s="1"/>
  <c r="H21" i="1"/>
  <c r="E21" i="1"/>
  <c r="D21" i="1"/>
  <c r="H20" i="1"/>
  <c r="E20" i="1"/>
  <c r="D20" i="1"/>
  <c r="F20" i="1" s="1"/>
  <c r="G20" i="1" s="1"/>
  <c r="I20" i="1" s="1"/>
  <c r="B20" i="1"/>
  <c r="B21" i="1" s="1"/>
  <c r="B22" i="1" s="1"/>
  <c r="B23" i="1" s="1"/>
  <c r="B24" i="1" s="1"/>
  <c r="B25" i="1" s="1"/>
  <c r="B26" i="1" s="1"/>
  <c r="H19" i="1"/>
  <c r="E19" i="1"/>
  <c r="D19" i="1"/>
  <c r="H18" i="1"/>
  <c r="E18" i="1"/>
  <c r="D18" i="1"/>
  <c r="H17" i="1"/>
  <c r="E17" i="1"/>
  <c r="D17" i="1"/>
  <c r="H16" i="1"/>
  <c r="E16" i="1"/>
  <c r="D16" i="1"/>
  <c r="H15" i="1"/>
  <c r="E15" i="1"/>
  <c r="D15" i="1"/>
  <c r="H14" i="1"/>
  <c r="E14" i="1"/>
  <c r="D14" i="1"/>
  <c r="H13" i="1"/>
  <c r="E13" i="1"/>
  <c r="D13" i="1"/>
  <c r="H12" i="1"/>
  <c r="E12" i="1"/>
  <c r="D12" i="1"/>
  <c r="H11" i="1"/>
  <c r="E11" i="1"/>
  <c r="D11" i="1"/>
  <c r="Q32" i="26"/>
  <c r="P32" i="26"/>
  <c r="N32" i="26"/>
  <c r="M56" i="31"/>
  <c r="Q28" i="26"/>
  <c r="S28" i="26" s="1"/>
  <c r="Q27" i="26"/>
  <c r="S27" i="26" s="1"/>
  <c r="Q26" i="26"/>
  <c r="S26" i="26" s="1"/>
  <c r="P26" i="26"/>
  <c r="P27" i="26" s="1"/>
  <c r="O26" i="26"/>
  <c r="O28" i="26" s="1"/>
  <c r="O18" i="26"/>
  <c r="P18" i="26" s="1"/>
  <c r="Q18" i="26" s="1"/>
  <c r="N18" i="26"/>
  <c r="O17" i="26"/>
  <c r="P17" i="26" s="1"/>
  <c r="Q17" i="26" s="1"/>
  <c r="N17" i="26"/>
  <c r="O16" i="26"/>
  <c r="P16" i="26" s="1"/>
  <c r="Q16" i="26" s="1"/>
  <c r="N16" i="26"/>
  <c r="O15" i="26"/>
  <c r="P15" i="26" s="1"/>
  <c r="Q15" i="26" s="1"/>
  <c r="N15" i="26"/>
  <c r="O27" i="26" l="1"/>
  <c r="F27" i="1"/>
  <c r="G27" i="1" s="1"/>
  <c r="I27" i="1" s="1"/>
  <c r="F12" i="1"/>
  <c r="G12" i="1" s="1"/>
  <c r="I12" i="1" s="1"/>
  <c r="F29" i="1"/>
  <c r="G29" i="1" s="1"/>
  <c r="I29" i="1" s="1"/>
  <c r="F30" i="1"/>
  <c r="G30" i="1" s="1"/>
  <c r="I30" i="1" s="1"/>
  <c r="F33" i="1"/>
  <c r="G33" i="1" s="1"/>
  <c r="I33" i="1" s="1"/>
  <c r="F24" i="1"/>
  <c r="G24" i="1" s="1"/>
  <c r="I24" i="1" s="1"/>
  <c r="F18" i="1"/>
  <c r="G18" i="1" s="1"/>
  <c r="I18" i="1" s="1"/>
  <c r="F16" i="1"/>
  <c r="G16" i="1" s="1"/>
  <c r="I16" i="1" s="1"/>
  <c r="F14" i="1"/>
  <c r="G14" i="1" s="1"/>
  <c r="I14" i="1" s="1"/>
  <c r="F23" i="1"/>
  <c r="G23" i="1" s="1"/>
  <c r="I23" i="1" s="1"/>
  <c r="F25" i="1"/>
  <c r="G25" i="1" s="1"/>
  <c r="I25" i="1" s="1"/>
  <c r="F28" i="1"/>
  <c r="G28" i="1" s="1"/>
  <c r="I28" i="1" s="1"/>
  <c r="F21" i="1"/>
  <c r="G21" i="1" s="1"/>
  <c r="I21" i="1" s="1"/>
  <c r="F31" i="1"/>
  <c r="G31" i="1" s="1"/>
  <c r="I31" i="1" s="1"/>
  <c r="F32" i="1"/>
  <c r="G32" i="1" s="1"/>
  <c r="I32" i="1" s="1"/>
  <c r="F11" i="1"/>
  <c r="G11" i="1" s="1"/>
  <c r="I11" i="1" s="1"/>
  <c r="F13" i="1"/>
  <c r="G13" i="1" s="1"/>
  <c r="I13" i="1" s="1"/>
  <c r="F15" i="1"/>
  <c r="G15" i="1" s="1"/>
  <c r="I15" i="1" s="1"/>
  <c r="F17" i="1"/>
  <c r="G17" i="1" s="1"/>
  <c r="I17" i="1" s="1"/>
  <c r="F19" i="1"/>
  <c r="G19" i="1" s="1"/>
  <c r="I19" i="1" s="1"/>
  <c r="S17" i="26"/>
  <c r="S18" i="26"/>
  <c r="R32" i="26"/>
  <c r="F26" i="1"/>
  <c r="G26" i="1" s="1"/>
  <c r="I26" i="1" s="1"/>
  <c r="S15" i="26"/>
  <c r="R27" i="26"/>
  <c r="S16" i="26"/>
  <c r="R26" i="26"/>
  <c r="P28" i="26"/>
  <c r="R28" i="26" s="1"/>
  <c r="F5" i="38" l="1"/>
  <c r="I58" i="31" l="1"/>
  <c r="G58" i="31"/>
  <c r="J58" i="31" s="1"/>
  <c r="K12" i="50" l="1"/>
  <c r="D294" i="37"/>
  <c r="G46" i="31"/>
  <c r="J46" i="31" s="1"/>
  <c r="G43" i="31"/>
  <c r="J43" i="31" s="1"/>
  <c r="G42" i="31"/>
  <c r="J42" i="31" s="1"/>
  <c r="I41" i="31"/>
  <c r="G41" i="31"/>
  <c r="G40" i="31"/>
  <c r="J40" i="31" s="1"/>
  <c r="G39" i="31"/>
  <c r="J39" i="31" s="1"/>
  <c r="G34" i="31"/>
  <c r="J34" i="31" s="1"/>
  <c r="G29" i="31"/>
  <c r="J29" i="31" s="1"/>
  <c r="I24" i="31"/>
  <c r="G24" i="31"/>
  <c r="G26" i="31"/>
  <c r="H5" i="56"/>
  <c r="A5" i="56"/>
  <c r="A4" i="56"/>
  <c r="A3" i="56"/>
  <c r="C1" i="56"/>
  <c r="E6" i="50"/>
  <c r="B7" i="50"/>
  <c r="M23" i="52"/>
  <c r="Q23" i="52" s="1"/>
  <c r="N175" i="37"/>
  <c r="C9" i="33"/>
  <c r="G12" i="26"/>
  <c r="G20" i="31"/>
  <c r="G19" i="31"/>
  <c r="D21" i="31"/>
  <c r="G21" i="31" s="1"/>
  <c r="A10" i="33"/>
  <c r="B10" i="50"/>
  <c r="F4" i="38"/>
  <c r="F3" i="38"/>
  <c r="F4" i="55"/>
  <c r="F5" i="55"/>
  <c r="F3" i="55"/>
  <c r="E26" i="55"/>
  <c r="F13" i="55"/>
  <c r="F12" i="55"/>
  <c r="D3" i="53"/>
  <c r="A4" i="53"/>
  <c r="F1" i="52"/>
  <c r="R22" i="52"/>
  <c r="Q22" i="52"/>
  <c r="N22" i="52"/>
  <c r="M22" i="52"/>
  <c r="J22" i="52"/>
  <c r="I22" i="52"/>
  <c r="W4" i="52"/>
  <c r="C8" i="33"/>
  <c r="M294" i="37"/>
  <c r="Q409" i="37"/>
  <c r="D53" i="51"/>
  <c r="M19" i="51"/>
  <c r="N19" i="51" s="1"/>
  <c r="H5" i="51"/>
  <c r="A5" i="51"/>
  <c r="A4" i="51"/>
  <c r="A3" i="51"/>
  <c r="C1" i="51"/>
  <c r="N10" i="28"/>
  <c r="K20" i="50"/>
  <c r="K19" i="50"/>
  <c r="K18" i="50"/>
  <c r="B9" i="32"/>
  <c r="M57" i="31"/>
  <c r="L32" i="26"/>
  <c r="L28" i="26"/>
  <c r="L27" i="26"/>
  <c r="L26" i="26"/>
  <c r="L25" i="26"/>
  <c r="L18" i="26"/>
  <c r="L9" i="26"/>
  <c r="L10" i="26"/>
  <c r="H5" i="24"/>
  <c r="A5" i="24"/>
  <c r="A4" i="24"/>
  <c r="H5" i="22"/>
  <c r="A5" i="22"/>
  <c r="A4" i="22"/>
  <c r="H5" i="15"/>
  <c r="A5" i="15"/>
  <c r="A4" i="15"/>
  <c r="H5" i="14"/>
  <c r="A5" i="14"/>
  <c r="A4" i="14"/>
  <c r="H5" i="31"/>
  <c r="A5" i="31"/>
  <c r="A4" i="31"/>
  <c r="H5" i="47"/>
  <c r="A5" i="47"/>
  <c r="A4" i="47"/>
  <c r="H5" i="49"/>
  <c r="A5" i="49"/>
  <c r="A4" i="49"/>
  <c r="H5" i="34"/>
  <c r="A5" i="34"/>
  <c r="A4" i="34"/>
  <c r="H5" i="6"/>
  <c r="A5" i="6"/>
  <c r="A4" i="6"/>
  <c r="H5" i="23"/>
  <c r="A5" i="23"/>
  <c r="A4" i="23"/>
  <c r="H5" i="19"/>
  <c r="A5" i="19"/>
  <c r="A4" i="19"/>
  <c r="A5" i="17"/>
  <c r="A4" i="17"/>
  <c r="A4" i="28"/>
  <c r="A5" i="28"/>
  <c r="A11" i="33"/>
  <c r="C1" i="24"/>
  <c r="C1" i="22"/>
  <c r="C1" i="15"/>
  <c r="C1" i="14"/>
  <c r="C1" i="31"/>
  <c r="C1" i="47"/>
  <c r="C1" i="49"/>
  <c r="C1" i="34"/>
  <c r="C1" i="6"/>
  <c r="C1" i="23"/>
  <c r="C1" i="19"/>
  <c r="C1" i="17"/>
  <c r="C1" i="28"/>
  <c r="M21" i="33"/>
  <c r="L31" i="26"/>
  <c r="I18" i="15"/>
  <c r="M14" i="14"/>
  <c r="M23" i="14" s="1"/>
  <c r="G25" i="26"/>
  <c r="G64" i="31"/>
  <c r="G23" i="31"/>
  <c r="G25" i="31"/>
  <c r="I26" i="31"/>
  <c r="I27" i="31"/>
  <c r="I59" i="31"/>
  <c r="J59" i="31" s="1"/>
  <c r="I10" i="31"/>
  <c r="I11" i="31"/>
  <c r="I14" i="31"/>
  <c r="I16" i="31"/>
  <c r="I17" i="31"/>
  <c r="I19" i="31"/>
  <c r="I21" i="31"/>
  <c r="I23" i="31"/>
  <c r="I25" i="31"/>
  <c r="G10" i="31"/>
  <c r="G27" i="31"/>
  <c r="G28" i="31"/>
  <c r="G30" i="31"/>
  <c r="J30" i="31" s="1"/>
  <c r="G31" i="31"/>
  <c r="J31" i="31" s="1"/>
  <c r="G32" i="31"/>
  <c r="J32" i="31" s="1"/>
  <c r="G33" i="31"/>
  <c r="J33" i="31" s="1"/>
  <c r="G35" i="31"/>
  <c r="J35" i="31" s="1"/>
  <c r="G36" i="31"/>
  <c r="J36" i="31" s="1"/>
  <c r="G9" i="15"/>
  <c r="G12" i="15" s="1"/>
  <c r="G15" i="15"/>
  <c r="G17" i="15"/>
  <c r="J17" i="15" s="1"/>
  <c r="I17" i="15"/>
  <c r="I51" i="31"/>
  <c r="I53" i="31"/>
  <c r="I54" i="31"/>
  <c r="I56" i="31"/>
  <c r="J14" i="33" s="1"/>
  <c r="G44" i="31"/>
  <c r="J44" i="31" s="1"/>
  <c r="G45" i="31"/>
  <c r="J45" i="31" s="1"/>
  <c r="G54" i="31"/>
  <c r="G56" i="31"/>
  <c r="I14" i="33" s="1"/>
  <c r="G61" i="31"/>
  <c r="I61" i="31"/>
  <c r="G62" i="31"/>
  <c r="I62" i="31"/>
  <c r="G63" i="31"/>
  <c r="I63" i="31"/>
  <c r="I64" i="31"/>
  <c r="I14" i="14"/>
  <c r="G10" i="14"/>
  <c r="G11" i="14"/>
  <c r="G18" i="14"/>
  <c r="J18" i="14" s="1"/>
  <c r="I18" i="14"/>
  <c r="G26" i="26"/>
  <c r="G27" i="26"/>
  <c r="G28" i="26"/>
  <c r="G14" i="14"/>
  <c r="I11" i="14"/>
  <c r="G18" i="15"/>
  <c r="D33" i="2"/>
  <c r="G33" i="2" s="1"/>
  <c r="J33" i="2" s="1"/>
  <c r="D101" i="2" s="1"/>
  <c r="H41" i="2"/>
  <c r="F99" i="2" s="1"/>
  <c r="G101" i="2"/>
  <c r="F49" i="2"/>
  <c r="F53" i="2"/>
  <c r="H55" i="2" s="1"/>
  <c r="B32" i="2"/>
  <c r="D32" i="2" s="1"/>
  <c r="G32" i="2" s="1"/>
  <c r="J32" i="2" s="1"/>
  <c r="D100" i="2" s="1"/>
  <c r="F100" i="2"/>
  <c r="G100" i="2"/>
  <c r="B31" i="2"/>
  <c r="D31" i="2" s="1"/>
  <c r="G31" i="2" s="1"/>
  <c r="J31" i="2" s="1"/>
  <c r="D99" i="2" s="1"/>
  <c r="G99" i="2"/>
  <c r="B30" i="2"/>
  <c r="D30" i="2" s="1"/>
  <c r="G30" i="2" s="1"/>
  <c r="J30" i="2" s="1"/>
  <c r="D98" i="2" s="1"/>
  <c r="G98" i="2"/>
  <c r="B29" i="2"/>
  <c r="D29" i="2" s="1"/>
  <c r="G29" i="2" s="1"/>
  <c r="J29" i="2" s="1"/>
  <c r="D97" i="2" s="1"/>
  <c r="G97" i="2"/>
  <c r="B28" i="2"/>
  <c r="D28" i="2" s="1"/>
  <c r="G28" i="2" s="1"/>
  <c r="J28" i="2" s="1"/>
  <c r="D96" i="2" s="1"/>
  <c r="G96" i="2"/>
  <c r="B27" i="2"/>
  <c r="D27" i="2" s="1"/>
  <c r="G27" i="2" s="1"/>
  <c r="J27" i="2" s="1"/>
  <c r="D95" i="2" s="1"/>
  <c r="G95" i="2"/>
  <c r="B26" i="2"/>
  <c r="D26" i="2" s="1"/>
  <c r="G26" i="2" s="1"/>
  <c r="J26" i="2" s="1"/>
  <c r="D94" i="2" s="1"/>
  <c r="F94" i="2"/>
  <c r="G94" i="2"/>
  <c r="G93" i="2"/>
  <c r="F92" i="2"/>
  <c r="G92" i="2"/>
  <c r="F91" i="2"/>
  <c r="G91" i="2"/>
  <c r="G90" i="2"/>
  <c r="F89" i="2"/>
  <c r="G89" i="2"/>
  <c r="G88" i="2"/>
  <c r="F87" i="2"/>
  <c r="G87" i="2"/>
  <c r="B18" i="2"/>
  <c r="D18" i="2" s="1"/>
  <c r="G18" i="2" s="1"/>
  <c r="J18" i="2" s="1"/>
  <c r="D86" i="2" s="1"/>
  <c r="G86" i="2"/>
  <c r="B17" i="2"/>
  <c r="D17" i="2" s="1"/>
  <c r="G17" i="2" s="1"/>
  <c r="J17" i="2" s="1"/>
  <c r="D85" i="2" s="1"/>
  <c r="G85" i="2"/>
  <c r="B16" i="2"/>
  <c r="D16" i="2" s="1"/>
  <c r="G16" i="2" s="1"/>
  <c r="J16" i="2" s="1"/>
  <c r="D84" i="2" s="1"/>
  <c r="G84" i="2"/>
  <c r="B15" i="2"/>
  <c r="D15" i="2" s="1"/>
  <c r="G15" i="2" s="1"/>
  <c r="J15" i="2" s="1"/>
  <c r="D83" i="2" s="1"/>
  <c r="G83" i="2"/>
  <c r="B14" i="2"/>
  <c r="D14" i="2" s="1"/>
  <c r="G14" i="2" s="1"/>
  <c r="J14" i="2" s="1"/>
  <c r="D82" i="2" s="1"/>
  <c r="G82" i="2"/>
  <c r="B13" i="2"/>
  <c r="M442" i="2" s="1"/>
  <c r="G81" i="2"/>
  <c r="B12" i="2"/>
  <c r="X441" i="2" s="1"/>
  <c r="G80" i="2"/>
  <c r="B11" i="2"/>
  <c r="D11" i="2" s="1"/>
  <c r="G11" i="2" s="1"/>
  <c r="J11" i="2" s="1"/>
  <c r="D79" i="2" s="1"/>
  <c r="G79" i="2"/>
  <c r="B10" i="2"/>
  <c r="D10" i="2" s="1"/>
  <c r="G10" i="2" s="1"/>
  <c r="J10" i="2" s="1"/>
  <c r="D78" i="2" s="1"/>
  <c r="G78" i="2"/>
  <c r="T164" i="2"/>
  <c r="V177" i="2" s="1"/>
  <c r="V176" i="2"/>
  <c r="V175" i="2"/>
  <c r="V172" i="2"/>
  <c r="V170" i="2"/>
  <c r="V169" i="2"/>
  <c r="T147" i="2"/>
  <c r="V159" i="2" s="1"/>
  <c r="V158" i="2"/>
  <c r="T416" i="2"/>
  <c r="V422" i="2" s="1"/>
  <c r="V420" i="2"/>
  <c r="V427" i="2"/>
  <c r="V428" i="2"/>
  <c r="O462" i="2"/>
  <c r="O461" i="2"/>
  <c r="T399" i="2"/>
  <c r="V406" i="2" s="1"/>
  <c r="V408" i="2"/>
  <c r="O460" i="2"/>
  <c r="T380" i="2"/>
  <c r="V387" i="2" s="1"/>
  <c r="V389" i="2"/>
  <c r="O459" i="2"/>
  <c r="T363" i="2"/>
  <c r="V370" i="2" s="1"/>
  <c r="V372" i="2"/>
  <c r="O458" i="2"/>
  <c r="T344" i="2"/>
  <c r="V351" i="2" s="1"/>
  <c r="O457" i="2"/>
  <c r="T327" i="2"/>
  <c r="V334" i="2" s="1"/>
  <c r="O456" i="2"/>
  <c r="T308" i="2"/>
  <c r="V315" i="2" s="1"/>
  <c r="O455" i="2"/>
  <c r="T291" i="2"/>
  <c r="V298" i="2" s="1"/>
  <c r="V300" i="2"/>
  <c r="O454" i="2"/>
  <c r="T272" i="2"/>
  <c r="V279" i="2" s="1"/>
  <c r="V281" i="2"/>
  <c r="O453" i="2"/>
  <c r="T255" i="2"/>
  <c r="V262" i="2" s="1"/>
  <c r="V264" i="2"/>
  <c r="O452" i="2"/>
  <c r="T236" i="2"/>
  <c r="V243" i="2" s="1"/>
  <c r="V245" i="2"/>
  <c r="O451" i="2"/>
  <c r="T219" i="2"/>
  <c r="V226" i="2" s="1"/>
  <c r="V228" i="2"/>
  <c r="O450" i="2"/>
  <c r="T200" i="2"/>
  <c r="V207" i="2" s="1"/>
  <c r="V209" i="2"/>
  <c r="O449" i="2"/>
  <c r="T183" i="2"/>
  <c r="V190" i="2" s="1"/>
  <c r="O448" i="2"/>
  <c r="O447" i="2"/>
  <c r="O446" i="2"/>
  <c r="T128" i="2"/>
  <c r="V132" i="2" s="1"/>
  <c r="V133" i="2"/>
  <c r="O445" i="2"/>
  <c r="T111" i="2"/>
  <c r="V115" i="2" s="1"/>
  <c r="V116" i="2"/>
  <c r="V124" i="2"/>
  <c r="O444" i="2"/>
  <c r="T92" i="2"/>
  <c r="V96" i="2" s="1"/>
  <c r="V97" i="2"/>
  <c r="O443" i="2"/>
  <c r="T75" i="2"/>
  <c r="V79" i="2" s="1"/>
  <c r="O442" i="2"/>
  <c r="T56" i="2"/>
  <c r="V60" i="2" s="1"/>
  <c r="V61" i="2"/>
  <c r="O441" i="2"/>
  <c r="T39" i="2"/>
  <c r="V43" i="2" s="1"/>
  <c r="V44" i="2"/>
  <c r="V48" i="2"/>
  <c r="V52" i="2"/>
  <c r="O440" i="2"/>
  <c r="T21" i="2"/>
  <c r="V25" i="2" s="1"/>
  <c r="M462" i="2"/>
  <c r="X468" i="2"/>
  <c r="Y468" i="2"/>
  <c r="AG420" i="2"/>
  <c r="AG421" i="2"/>
  <c r="AG422" i="2"/>
  <c r="AG423" i="2"/>
  <c r="AG424" i="2"/>
  <c r="AG425" i="2"/>
  <c r="AG426" i="2"/>
  <c r="AG427" i="2"/>
  <c r="AG428" i="2"/>
  <c r="X466" i="2"/>
  <c r="Y466" i="2"/>
  <c r="AM65" i="2"/>
  <c r="M461" i="2"/>
  <c r="Y464" i="2"/>
  <c r="AG367" i="2"/>
  <c r="AG368" i="2"/>
  <c r="AG369" i="2"/>
  <c r="AG370" i="2"/>
  <c r="AG371" i="2"/>
  <c r="AG372" i="2"/>
  <c r="AG373" i="2"/>
  <c r="AG374" i="2"/>
  <c r="AG375" i="2"/>
  <c r="X462" i="2"/>
  <c r="Y462" i="2"/>
  <c r="X465" i="2"/>
  <c r="Y465" i="2"/>
  <c r="AG384" i="2"/>
  <c r="AG385" i="2"/>
  <c r="AG386" i="2"/>
  <c r="AG387" i="2"/>
  <c r="AG388" i="2"/>
  <c r="AG389" i="2"/>
  <c r="AG390" i="2"/>
  <c r="AG391" i="2"/>
  <c r="AG392" i="2"/>
  <c r="AG403" i="2"/>
  <c r="AG404" i="2"/>
  <c r="AG405" i="2"/>
  <c r="AG406" i="2"/>
  <c r="AG407" i="2"/>
  <c r="AG408" i="2"/>
  <c r="AG409" i="2"/>
  <c r="AG410" i="2"/>
  <c r="AG411" i="2"/>
  <c r="AM64" i="2"/>
  <c r="M460" i="2"/>
  <c r="AM63" i="2"/>
  <c r="AM62" i="2"/>
  <c r="M458" i="2"/>
  <c r="Y457" i="2"/>
  <c r="AG295" i="2"/>
  <c r="AG296" i="2"/>
  <c r="AG297" i="2"/>
  <c r="AG298" i="2"/>
  <c r="AG299" i="2"/>
  <c r="AG300" i="2"/>
  <c r="AG301" i="2"/>
  <c r="AG302" i="2"/>
  <c r="AG303" i="2"/>
  <c r="X459" i="2"/>
  <c r="Y459" i="2"/>
  <c r="Y460" i="2"/>
  <c r="AG312" i="2"/>
  <c r="AG313" i="2"/>
  <c r="AG314" i="2"/>
  <c r="AG315" i="2"/>
  <c r="AG316" i="2"/>
  <c r="AG317" i="2"/>
  <c r="AG318" i="2"/>
  <c r="AG319" i="2"/>
  <c r="AG320" i="2"/>
  <c r="Y461" i="2"/>
  <c r="AG331" i="2"/>
  <c r="AG332" i="2"/>
  <c r="AG333" i="2"/>
  <c r="AG334" i="2"/>
  <c r="AG335" i="2"/>
  <c r="AG336" i="2"/>
  <c r="AG337" i="2"/>
  <c r="AG338" i="2"/>
  <c r="AG339" i="2"/>
  <c r="AG348" i="2"/>
  <c r="AG349" i="2"/>
  <c r="AG350" i="2"/>
  <c r="AG351" i="2"/>
  <c r="AG352" i="2"/>
  <c r="AG353" i="2"/>
  <c r="AG354" i="2"/>
  <c r="AG355" i="2"/>
  <c r="AG356" i="2"/>
  <c r="AM61" i="2"/>
  <c r="M457" i="2"/>
  <c r="AM60" i="2"/>
  <c r="M456" i="2"/>
  <c r="AM59" i="2"/>
  <c r="M455" i="2"/>
  <c r="AM58" i="2"/>
  <c r="Y451" i="2"/>
  <c r="AG204" i="2"/>
  <c r="AG205" i="2"/>
  <c r="AG206" i="2"/>
  <c r="AG207" i="2"/>
  <c r="AG208" i="2"/>
  <c r="AG209" i="2"/>
  <c r="AG210" i="2"/>
  <c r="AG211" i="2"/>
  <c r="AG212" i="2"/>
  <c r="Y453" i="2"/>
  <c r="Y454" i="2"/>
  <c r="AG223" i="2"/>
  <c r="AG224" i="2"/>
  <c r="AG225" i="2"/>
  <c r="AG226" i="2"/>
  <c r="AG227" i="2"/>
  <c r="AG228" i="2"/>
  <c r="AG229" i="2"/>
  <c r="AG230" i="2"/>
  <c r="AG231" i="2"/>
  <c r="Y455" i="2"/>
  <c r="AG240" i="2"/>
  <c r="AG241" i="2"/>
  <c r="AG242" i="2"/>
  <c r="AG251" i="2" s="1"/>
  <c r="Z455" i="2" s="1"/>
  <c r="AA455" i="2" s="1"/>
  <c r="AG243" i="2"/>
  <c r="AG244" i="2"/>
  <c r="AG245" i="2"/>
  <c r="AG246" i="2"/>
  <c r="AG247" i="2"/>
  <c r="AG248" i="2"/>
  <c r="Y456" i="2"/>
  <c r="AG259" i="2"/>
  <c r="AG260" i="2"/>
  <c r="AG261" i="2"/>
  <c r="AG262" i="2"/>
  <c r="AG263" i="2"/>
  <c r="AG264" i="2"/>
  <c r="AG265" i="2"/>
  <c r="AG266" i="2"/>
  <c r="AG267" i="2"/>
  <c r="AG276" i="2"/>
  <c r="AG277" i="2"/>
  <c r="AG278" i="2"/>
  <c r="AG279" i="2"/>
  <c r="AG280" i="2"/>
  <c r="AG281" i="2"/>
  <c r="AG282" i="2"/>
  <c r="AG283" i="2"/>
  <c r="AG284" i="2"/>
  <c r="AM57" i="2"/>
  <c r="AM56" i="2"/>
  <c r="AM55" i="2"/>
  <c r="AM54" i="2"/>
  <c r="AM53" i="2"/>
  <c r="X447" i="2"/>
  <c r="Y447" i="2"/>
  <c r="AG151" i="2"/>
  <c r="AG152" i="2"/>
  <c r="AG153" i="2"/>
  <c r="AG154" i="2"/>
  <c r="AG155" i="2"/>
  <c r="AG156" i="2"/>
  <c r="AG157" i="2"/>
  <c r="AG158" i="2"/>
  <c r="AG159" i="2"/>
  <c r="X449" i="2"/>
  <c r="Y449" i="2"/>
  <c r="Y450" i="2"/>
  <c r="AG168" i="2"/>
  <c r="AG169" i="2"/>
  <c r="AG170" i="2"/>
  <c r="AG171" i="2"/>
  <c r="AG172" i="2"/>
  <c r="AG173" i="2"/>
  <c r="AG174" i="2"/>
  <c r="AG175" i="2"/>
  <c r="AG176" i="2"/>
  <c r="AG187" i="2"/>
  <c r="AG188" i="2"/>
  <c r="AG189" i="2"/>
  <c r="AG190" i="2"/>
  <c r="AG191" i="2"/>
  <c r="AG192" i="2"/>
  <c r="AG193" i="2"/>
  <c r="AG194" i="2"/>
  <c r="AG195" i="2"/>
  <c r="AM52" i="2"/>
  <c r="AM51" i="2"/>
  <c r="M447" i="2"/>
  <c r="AM50" i="2"/>
  <c r="M446" i="2"/>
  <c r="Y443" i="2"/>
  <c r="AG96" i="2"/>
  <c r="AG97" i="2"/>
  <c r="AG98" i="2"/>
  <c r="AG99" i="2"/>
  <c r="AG100" i="2"/>
  <c r="AG101" i="2"/>
  <c r="AG102" i="2"/>
  <c r="AG103" i="2"/>
  <c r="AG104" i="2"/>
  <c r="X445" i="2"/>
  <c r="Y445" i="2"/>
  <c r="Y446" i="2"/>
  <c r="AG115" i="2"/>
  <c r="AG116" i="2"/>
  <c r="AG126" i="2" s="1"/>
  <c r="Z446" i="2" s="1"/>
  <c r="AA446" i="2" s="1"/>
  <c r="AG117" i="2"/>
  <c r="AG118" i="2"/>
  <c r="AG119" i="2"/>
  <c r="AG120" i="2"/>
  <c r="AG121" i="2"/>
  <c r="AG122" i="2"/>
  <c r="AG123" i="2"/>
  <c r="AG132" i="2"/>
  <c r="AG133" i="2"/>
  <c r="AG134" i="2"/>
  <c r="AG135" i="2"/>
  <c r="AG136" i="2"/>
  <c r="AG137" i="2"/>
  <c r="AG138" i="2"/>
  <c r="AG139" i="2"/>
  <c r="AG140" i="2"/>
  <c r="AM49" i="2"/>
  <c r="M445" i="2"/>
  <c r="AM48" i="2"/>
  <c r="M444" i="2"/>
  <c r="AM47" i="2"/>
  <c r="Y439" i="2"/>
  <c r="AG8" i="2"/>
  <c r="AG9" i="2"/>
  <c r="AG10" i="2"/>
  <c r="AG11" i="2"/>
  <c r="AG12" i="2"/>
  <c r="AG13" i="2"/>
  <c r="AG14" i="2"/>
  <c r="AG15" i="2"/>
  <c r="AG16" i="2"/>
  <c r="Y440" i="2"/>
  <c r="AG25" i="2"/>
  <c r="AG26" i="2"/>
  <c r="AG27" i="2"/>
  <c r="AG28" i="2"/>
  <c r="AG29" i="2"/>
  <c r="AG30" i="2"/>
  <c r="AG31" i="2"/>
  <c r="AG32" i="2"/>
  <c r="AG33" i="2"/>
  <c r="Y441" i="2"/>
  <c r="AG43" i="2"/>
  <c r="AG44" i="2"/>
  <c r="AG45" i="2"/>
  <c r="AG46" i="2"/>
  <c r="AG53" i="2" s="1"/>
  <c r="AG54" i="2" s="1"/>
  <c r="Z441" i="2" s="1"/>
  <c r="AA441" i="2" s="1"/>
  <c r="AG47" i="2"/>
  <c r="AG48" i="2"/>
  <c r="AG49" i="2"/>
  <c r="AG50" i="2"/>
  <c r="AG51" i="2"/>
  <c r="Y442" i="2"/>
  <c r="AG60" i="2"/>
  <c r="AG61" i="2"/>
  <c r="AG62" i="2"/>
  <c r="AG63" i="2"/>
  <c r="AG64" i="2"/>
  <c r="AG65" i="2"/>
  <c r="AG70" i="2" s="1"/>
  <c r="AG71" i="2" s="1"/>
  <c r="Z442" i="2" s="1"/>
  <c r="AA442" i="2" s="1"/>
  <c r="AG66" i="2"/>
  <c r="AG67" i="2"/>
  <c r="AG68" i="2"/>
  <c r="AG79" i="2"/>
  <c r="AG80" i="2"/>
  <c r="AG81" i="2"/>
  <c r="AG82" i="2"/>
  <c r="AG83" i="2"/>
  <c r="AG84" i="2"/>
  <c r="AG85" i="2"/>
  <c r="AG86" i="2"/>
  <c r="AG87" i="2"/>
  <c r="AM46" i="2"/>
  <c r="AM45" i="2"/>
  <c r="AM44" i="2"/>
  <c r="AM43" i="2"/>
  <c r="T4" i="2"/>
  <c r="V13" i="2" s="1"/>
  <c r="O439" i="2"/>
  <c r="AM42" i="2"/>
  <c r="AE416" i="2"/>
  <c r="AE399" i="2"/>
  <c r="AE380" i="2"/>
  <c r="AE363" i="2"/>
  <c r="AE344" i="2"/>
  <c r="AE327" i="2"/>
  <c r="AE308" i="2"/>
  <c r="AE291" i="2"/>
  <c r="AE272" i="2"/>
  <c r="AE255" i="2"/>
  <c r="AE236" i="2"/>
  <c r="AE219" i="2"/>
  <c r="A33" i="2"/>
  <c r="AH65" i="2" s="1"/>
  <c r="AE200" i="2"/>
  <c r="AE183" i="2"/>
  <c r="AE164" i="2"/>
  <c r="AE147" i="2"/>
  <c r="AE56" i="2"/>
  <c r="AE128" i="2"/>
  <c r="AE111" i="2"/>
  <c r="AC92" i="2"/>
  <c r="AE39" i="2"/>
  <c r="AE75" i="2"/>
  <c r="AE92" i="2"/>
  <c r="AE21" i="2"/>
  <c r="AE4" i="2"/>
  <c r="AI65" i="2"/>
  <c r="AI64" i="2"/>
  <c r="AI63" i="2"/>
  <c r="AI61" i="2"/>
  <c r="AI60" i="2"/>
  <c r="AI58" i="2"/>
  <c r="AI50" i="2"/>
  <c r="AI49" i="2"/>
  <c r="AI47" i="2"/>
  <c r="AI46" i="2"/>
  <c r="AI45" i="2"/>
  <c r="B101" i="2"/>
  <c r="B100" i="2"/>
  <c r="B99" i="2"/>
  <c r="B98" i="2"/>
  <c r="B97" i="2"/>
  <c r="B94" i="2"/>
  <c r="B86" i="2"/>
  <c r="B83" i="2"/>
  <c r="A3" i="47"/>
  <c r="B53" i="31"/>
  <c r="A3" i="31"/>
  <c r="B51" i="31"/>
  <c r="B54" i="31"/>
  <c r="A3" i="17"/>
  <c r="H5" i="28"/>
  <c r="A3" i="28"/>
  <c r="D5" i="3"/>
  <c r="F12" i="3" s="1"/>
  <c r="H6" i="3"/>
  <c r="E14" i="3" s="1"/>
  <c r="C12" i="3"/>
  <c r="H5" i="3"/>
  <c r="D14" i="3" s="1"/>
  <c r="C48" i="3"/>
  <c r="G48" i="3" s="1"/>
  <c r="C71" i="3"/>
  <c r="G71" i="3" s="1"/>
  <c r="C70" i="3"/>
  <c r="G70" i="3"/>
  <c r="C69" i="3"/>
  <c r="G69" i="3" s="1"/>
  <c r="C68" i="3"/>
  <c r="G68" i="3" s="1"/>
  <c r="C67" i="3"/>
  <c r="G67" i="3" s="1"/>
  <c r="C66" i="3"/>
  <c r="G66" i="3" s="1"/>
  <c r="C65" i="3"/>
  <c r="G65" i="3" s="1"/>
  <c r="C64" i="3"/>
  <c r="G64" i="3" s="1"/>
  <c r="C63" i="3"/>
  <c r="G63" i="3" s="1"/>
  <c r="C62" i="3"/>
  <c r="G62" i="3"/>
  <c r="C61" i="3"/>
  <c r="G61" i="3" s="1"/>
  <c r="C60" i="3"/>
  <c r="G60" i="3" s="1"/>
  <c r="C59" i="3"/>
  <c r="G59" i="3" s="1"/>
  <c r="C58" i="3"/>
  <c r="G58" i="3" s="1"/>
  <c r="C57" i="3"/>
  <c r="G57" i="3"/>
  <c r="C56" i="3"/>
  <c r="G56" i="3" s="1"/>
  <c r="C55" i="3"/>
  <c r="G55" i="3" s="1"/>
  <c r="C54" i="3"/>
  <c r="G54" i="3" s="1"/>
  <c r="C53" i="3"/>
  <c r="G53" i="3" s="1"/>
  <c r="C52" i="3"/>
  <c r="G52" i="3" s="1"/>
  <c r="C51" i="3"/>
  <c r="G51" i="3" s="1"/>
  <c r="C50" i="3"/>
  <c r="G50" i="3" s="1"/>
  <c r="C49" i="3"/>
  <c r="G49" i="3" s="1"/>
  <c r="C13" i="3"/>
  <c r="C14" i="3"/>
  <c r="F15" i="3"/>
  <c r="C15" i="3"/>
  <c r="C16" i="3"/>
  <c r="C17" i="3"/>
  <c r="C18" i="3"/>
  <c r="C19" i="3"/>
  <c r="C20" i="3"/>
  <c r="C21" i="3"/>
  <c r="D21" i="3"/>
  <c r="C22" i="3"/>
  <c r="C23" i="3"/>
  <c r="C24" i="3"/>
  <c r="C25" i="3"/>
  <c r="C26" i="3"/>
  <c r="C27" i="3"/>
  <c r="C28" i="3"/>
  <c r="C29" i="3"/>
  <c r="C30" i="3"/>
  <c r="D30" i="3"/>
  <c r="C31" i="3"/>
  <c r="D31" i="3"/>
  <c r="C32" i="3"/>
  <c r="D32" i="3"/>
  <c r="C33" i="3"/>
  <c r="C34" i="3"/>
  <c r="C35" i="3"/>
  <c r="G10" i="23"/>
  <c r="I10" i="23"/>
  <c r="G11" i="23"/>
  <c r="I11" i="23"/>
  <c r="G9" i="6"/>
  <c r="I9" i="6"/>
  <c r="I13" i="6" s="1"/>
  <c r="A3" i="22"/>
  <c r="A3" i="15"/>
  <c r="G14" i="15"/>
  <c r="I15" i="15"/>
  <c r="I14" i="15"/>
  <c r="I9" i="15"/>
  <c r="I12" i="15" s="1"/>
  <c r="I13" i="15" s="1"/>
  <c r="C375" i="37"/>
  <c r="Q382" i="37" s="1"/>
  <c r="N393" i="37" s="1"/>
  <c r="E374" i="37"/>
  <c r="C382" i="37" s="1"/>
  <c r="L387" i="37" s="1"/>
  <c r="C226" i="37"/>
  <c r="J51" i="37"/>
  <c r="C57" i="37"/>
  <c r="K3" i="37"/>
  <c r="D609" i="37"/>
  <c r="J399" i="37"/>
  <c r="J398" i="37"/>
  <c r="D241" i="37"/>
  <c r="B37" i="37"/>
  <c r="C146" i="37" s="1"/>
  <c r="K5" i="37"/>
  <c r="K4" i="37"/>
  <c r="I621" i="37"/>
  <c r="I405" i="37"/>
  <c r="G407" i="37" s="1"/>
  <c r="Q743" i="37"/>
  <c r="Q745" i="37"/>
  <c r="C6" i="4"/>
  <c r="B2" i="4"/>
  <c r="C9" i="4"/>
  <c r="A5" i="4"/>
  <c r="C10" i="5"/>
  <c r="F34" i="5"/>
  <c r="C55" i="5"/>
  <c r="C11" i="5"/>
  <c r="C12" i="5"/>
  <c r="C13" i="5"/>
  <c r="C14" i="5"/>
  <c r="C15" i="5"/>
  <c r="C16" i="5"/>
  <c r="C19" i="5"/>
  <c r="F35" i="5"/>
  <c r="H35" i="5" s="1"/>
  <c r="F33" i="5"/>
  <c r="F36" i="5"/>
  <c r="G9" i="20"/>
  <c r="G17" i="20"/>
  <c r="I9" i="20"/>
  <c r="I12" i="20"/>
  <c r="I17" i="20"/>
  <c r="G107" i="5"/>
  <c r="F107" i="5"/>
  <c r="G105" i="5"/>
  <c r="G106" i="5"/>
  <c r="G104" i="5"/>
  <c r="F105" i="5"/>
  <c r="F106" i="5"/>
  <c r="F104" i="5"/>
  <c r="F97" i="5"/>
  <c r="G97" i="5"/>
  <c r="F98" i="5"/>
  <c r="G98" i="5"/>
  <c r="F99" i="5"/>
  <c r="G99" i="5"/>
  <c r="F96" i="5"/>
  <c r="G96" i="5"/>
  <c r="A92" i="5"/>
  <c r="C49" i="5"/>
  <c r="A48" i="5"/>
  <c r="F37" i="5"/>
  <c r="H37" i="5" s="1"/>
  <c r="K104" i="5"/>
  <c r="K105" i="5"/>
  <c r="C105" i="5"/>
  <c r="C104" i="5"/>
  <c r="C106" i="5"/>
  <c r="C107" i="5"/>
  <c r="K106" i="5"/>
  <c r="K107" i="5"/>
  <c r="J12" i="20"/>
  <c r="C113" i="5" s="1"/>
  <c r="C57" i="5"/>
  <c r="C24" i="5"/>
  <c r="C22" i="5"/>
  <c r="C25" i="5"/>
  <c r="E32" i="20" a="1"/>
  <c r="F35" i="20" s="1"/>
  <c r="G35" i="20" s="1"/>
  <c r="H32" i="20" a="1"/>
  <c r="H36" i="20" s="1"/>
  <c r="I36" i="20" s="1"/>
  <c r="I10" i="14"/>
  <c r="J10" i="14" s="1"/>
  <c r="G12" i="14"/>
  <c r="J12" i="14" s="1"/>
  <c r="G13" i="14"/>
  <c r="G17" i="14"/>
  <c r="J17" i="14" s="1"/>
  <c r="G20" i="14"/>
  <c r="I20" i="14"/>
  <c r="G27" i="20"/>
  <c r="C26" i="20"/>
  <c r="A25" i="20"/>
  <c r="C3" i="20"/>
  <c r="G4" i="20"/>
  <c r="A2" i="20"/>
  <c r="B32" i="20" a="1"/>
  <c r="B34" i="20" s="1"/>
  <c r="A3" i="34"/>
  <c r="A3" i="24"/>
  <c r="A3" i="23"/>
  <c r="B71" i="3"/>
  <c r="B35" i="3"/>
  <c r="B13" i="3"/>
  <c r="B12" i="3"/>
  <c r="B49" i="3"/>
  <c r="B48" i="3"/>
  <c r="B14" i="3"/>
  <c r="B50" i="3"/>
  <c r="B15" i="3"/>
  <c r="B51" i="3"/>
  <c r="B16" i="3"/>
  <c r="B52" i="3"/>
  <c r="B17" i="3"/>
  <c r="B53" i="3"/>
  <c r="B18" i="3"/>
  <c r="B54" i="3"/>
  <c r="B19" i="3"/>
  <c r="B55" i="3"/>
  <c r="B20" i="3"/>
  <c r="B56" i="3"/>
  <c r="B28" i="3"/>
  <c r="B64" i="3"/>
  <c r="B29" i="3"/>
  <c r="B65" i="3"/>
  <c r="B30" i="3"/>
  <c r="B66" i="3"/>
  <c r="B31" i="3"/>
  <c r="B67" i="3"/>
  <c r="B32" i="3"/>
  <c r="B68" i="3"/>
  <c r="B33" i="3"/>
  <c r="B69" i="3"/>
  <c r="B34" i="3"/>
  <c r="B70" i="3"/>
  <c r="B21" i="3"/>
  <c r="B57" i="3"/>
  <c r="A3" i="6"/>
  <c r="G13" i="6"/>
  <c r="L16" i="26"/>
  <c r="L17" i="26"/>
  <c r="L15" i="26"/>
  <c r="A3" i="14"/>
  <c r="B17" i="14" a="1"/>
  <c r="B17" i="14" s="1"/>
  <c r="B13" i="14"/>
  <c r="B12" i="14"/>
  <c r="B11" i="14"/>
  <c r="B10" i="14"/>
  <c r="A3" i="49"/>
  <c r="F13" i="38"/>
  <c r="F12" i="38"/>
  <c r="E26" i="38"/>
  <c r="E4" i="32"/>
  <c r="B5" i="32"/>
  <c r="I35" i="33"/>
  <c r="I33" i="33"/>
  <c r="D35" i="33"/>
  <c r="D33" i="33"/>
  <c r="J11" i="33"/>
  <c r="A7" i="33"/>
  <c r="C6" i="33"/>
  <c r="B21" i="33"/>
  <c r="A3" i="19"/>
  <c r="I20" i="31"/>
  <c r="J20" i="31" s="1"/>
  <c r="G51" i="31"/>
  <c r="J51" i="31" s="1"/>
  <c r="F33" i="3"/>
  <c r="F29" i="3"/>
  <c r="F25" i="3"/>
  <c r="F21" i="3"/>
  <c r="F17" i="3"/>
  <c r="F34" i="3"/>
  <c r="F30" i="3"/>
  <c r="F26" i="3"/>
  <c r="F22" i="3"/>
  <c r="F18" i="3"/>
  <c r="AG89" i="2"/>
  <c r="AG90" i="2" s="1"/>
  <c r="Z443" i="2" s="1"/>
  <c r="AA443" i="2" s="1"/>
  <c r="V11" i="2"/>
  <c r="J9" i="20"/>
  <c r="V17" i="2"/>
  <c r="V35" i="2"/>
  <c r="V31" i="2"/>
  <c r="V27" i="2"/>
  <c r="V53" i="2"/>
  <c r="V49" i="2"/>
  <c r="V45" i="2"/>
  <c r="V70" i="2"/>
  <c r="V66" i="2"/>
  <c r="V62" i="2"/>
  <c r="V89" i="2"/>
  <c r="V106" i="2"/>
  <c r="V102" i="2"/>
  <c r="V98" i="2"/>
  <c r="V125" i="2"/>
  <c r="V121" i="2"/>
  <c r="V117" i="2"/>
  <c r="V142" i="2"/>
  <c r="V138" i="2"/>
  <c r="V134" i="2"/>
  <c r="V197" i="2"/>
  <c r="V193" i="2"/>
  <c r="V189" i="2"/>
  <c r="V214" i="2"/>
  <c r="V210" i="2"/>
  <c r="V206" i="2"/>
  <c r="V233" i="2"/>
  <c r="V229" i="2"/>
  <c r="V225" i="2"/>
  <c r="V250" i="2"/>
  <c r="V246" i="2"/>
  <c r="V242" i="2"/>
  <c r="V269" i="2"/>
  <c r="V265" i="2"/>
  <c r="V261" i="2"/>
  <c r="V286" i="2"/>
  <c r="V282" i="2"/>
  <c r="V278" i="2"/>
  <c r="V305" i="2"/>
  <c r="V301" i="2"/>
  <c r="V297" i="2"/>
  <c r="V322" i="2"/>
  <c r="V318" i="2"/>
  <c r="V314" i="2"/>
  <c r="V341" i="2"/>
  <c r="V337" i="2"/>
  <c r="V333" i="2"/>
  <c r="V358" i="2"/>
  <c r="V354" i="2"/>
  <c r="V350" i="2"/>
  <c r="V377" i="2"/>
  <c r="V373" i="2"/>
  <c r="V369" i="2"/>
  <c r="V394" i="2"/>
  <c r="V390" i="2"/>
  <c r="V386" i="2"/>
  <c r="V413" i="2"/>
  <c r="V409" i="2"/>
  <c r="V405" i="2"/>
  <c r="F86" i="2"/>
  <c r="F90" i="2"/>
  <c r="F95" i="2"/>
  <c r="V33" i="2"/>
  <c r="V29" i="2"/>
  <c r="V51" i="2"/>
  <c r="V47" i="2"/>
  <c r="V68" i="2"/>
  <c r="V64" i="2"/>
  <c r="V104" i="2"/>
  <c r="V100" i="2"/>
  <c r="V123" i="2"/>
  <c r="V119" i="2"/>
  <c r="V140" i="2"/>
  <c r="V136" i="2"/>
  <c r="V195" i="2"/>
  <c r="V191" i="2"/>
  <c r="V212" i="2"/>
  <c r="V208" i="2"/>
  <c r="V231" i="2"/>
  <c r="V227" i="2"/>
  <c r="V248" i="2"/>
  <c r="V244" i="2"/>
  <c r="V267" i="2"/>
  <c r="V263" i="2"/>
  <c r="V284" i="2"/>
  <c r="V280" i="2"/>
  <c r="V303" i="2"/>
  <c r="V299" i="2"/>
  <c r="V320" i="2"/>
  <c r="V316" i="2"/>
  <c r="V339" i="2"/>
  <c r="V335" i="2"/>
  <c r="V356" i="2"/>
  <c r="V352" i="2"/>
  <c r="V375" i="2"/>
  <c r="V371" i="2"/>
  <c r="V392" i="2"/>
  <c r="V388" i="2"/>
  <c r="V411" i="2"/>
  <c r="V407" i="2"/>
  <c r="B19" i="2"/>
  <c r="D19" i="2" s="1"/>
  <c r="G19" i="2" s="1"/>
  <c r="J19" i="2" s="1"/>
  <c r="D87" i="2" s="1"/>
  <c r="C112" i="5"/>
  <c r="I99" i="5"/>
  <c r="I96" i="5"/>
  <c r="J32" i="26"/>
  <c r="Q744" i="37"/>
  <c r="J28" i="26"/>
  <c r="I13" i="31"/>
  <c r="G17" i="31"/>
  <c r="J17" i="31" s="1"/>
  <c r="J15" i="33"/>
  <c r="K15" i="33" s="1"/>
  <c r="J14" i="15"/>
  <c r="G13" i="31"/>
  <c r="G53" i="31"/>
  <c r="G16" i="31"/>
  <c r="G11" i="31"/>
  <c r="J10" i="31"/>
  <c r="I31" i="26"/>
  <c r="J16" i="31" l="1"/>
  <c r="J9" i="15"/>
  <c r="J12" i="15" s="1"/>
  <c r="J13" i="15" s="1"/>
  <c r="C54" i="5" s="1"/>
  <c r="C62" i="5" s="1"/>
  <c r="D16" i="4" s="1"/>
  <c r="F16" i="4" s="1"/>
  <c r="E33" i="3"/>
  <c r="E18" i="3"/>
  <c r="B84" i="2"/>
  <c r="X439" i="2"/>
  <c r="AB439" i="2" s="1"/>
  <c r="AE439" i="2" s="1"/>
  <c r="V18" i="2"/>
  <c r="J20" i="14"/>
  <c r="J56" i="31"/>
  <c r="V14" i="2"/>
  <c r="I22" i="20"/>
  <c r="I23" i="20" s="1"/>
  <c r="J23" i="20" s="1"/>
  <c r="C56" i="5" s="1"/>
  <c r="J10" i="23"/>
  <c r="F24" i="3"/>
  <c r="AI48" i="2"/>
  <c r="AI62" i="2"/>
  <c r="M443" i="2"/>
  <c r="V105" i="2"/>
  <c r="V425" i="2"/>
  <c r="V154" i="2"/>
  <c r="V171" i="2"/>
  <c r="V178" i="2"/>
  <c r="F79" i="2"/>
  <c r="F81" i="2"/>
  <c r="F83" i="2"/>
  <c r="F85" i="2"/>
  <c r="F97" i="2"/>
  <c r="V9" i="2"/>
  <c r="V10" i="2"/>
  <c r="F14" i="3"/>
  <c r="G14" i="3" s="1"/>
  <c r="G35" i="5" s="1"/>
  <c r="M439" i="2"/>
  <c r="M441" i="2"/>
  <c r="X446" i="2"/>
  <c r="AB446" i="2" s="1"/>
  <c r="AE446" i="2" s="1"/>
  <c r="X461" i="2"/>
  <c r="V88" i="2"/>
  <c r="V424" i="2"/>
  <c r="V83" i="2"/>
  <c r="V81" i="2"/>
  <c r="V16" i="2"/>
  <c r="E35" i="3"/>
  <c r="E23" i="3"/>
  <c r="E20" i="3"/>
  <c r="E16" i="3"/>
  <c r="B78" i="2"/>
  <c r="B96" i="2"/>
  <c r="AI42" i="2"/>
  <c r="X443" i="2"/>
  <c r="AB443" i="2" s="1"/>
  <c r="AE443" i="2" s="1"/>
  <c r="M459" i="2"/>
  <c r="X464" i="2"/>
  <c r="V69" i="2"/>
  <c r="V84" i="2"/>
  <c r="V141" i="2"/>
  <c r="V423" i="2"/>
  <c r="V173" i="2"/>
  <c r="J11" i="14"/>
  <c r="G38" i="31"/>
  <c r="J11" i="31"/>
  <c r="V87" i="2"/>
  <c r="V85" i="2"/>
  <c r="V8" i="2"/>
  <c r="V19" i="2" s="1"/>
  <c r="Q439" i="2" s="1"/>
  <c r="S439" i="2" s="1"/>
  <c r="U439" i="2" s="1"/>
  <c r="AK42" i="2" s="1"/>
  <c r="V12" i="2"/>
  <c r="F23" i="3"/>
  <c r="F16" i="3"/>
  <c r="B82" i="2"/>
  <c r="V15" i="2"/>
  <c r="V65" i="2"/>
  <c r="V80" i="2"/>
  <c r="V137" i="2"/>
  <c r="V429" i="2"/>
  <c r="V421" i="2"/>
  <c r="V168" i="2"/>
  <c r="V179" i="2" s="1"/>
  <c r="Q448" i="2" s="1"/>
  <c r="S448" i="2" s="1"/>
  <c r="V174" i="2"/>
  <c r="F78" i="2"/>
  <c r="F80" i="2"/>
  <c r="F82" i="2"/>
  <c r="F84" i="2"/>
  <c r="F93" i="2"/>
  <c r="F98" i="2"/>
  <c r="J18" i="15"/>
  <c r="J15" i="15"/>
  <c r="I23" i="14"/>
  <c r="J13" i="14"/>
  <c r="G15" i="14"/>
  <c r="J12" i="26"/>
  <c r="F13" i="26"/>
  <c r="G13" i="26" s="1"/>
  <c r="J11" i="23"/>
  <c r="J31" i="26"/>
  <c r="J53" i="31"/>
  <c r="J11" i="26"/>
  <c r="L12" i="26"/>
  <c r="I13" i="23"/>
  <c r="G13" i="23"/>
  <c r="G22" i="20"/>
  <c r="G23" i="20" s="1"/>
  <c r="AG35" i="2"/>
  <c r="AG36" i="2" s="1"/>
  <c r="Z440" i="2" s="1"/>
  <c r="AA440" i="2" s="1"/>
  <c r="AG143" i="2"/>
  <c r="Z447" i="2" s="1"/>
  <c r="AA447" i="2" s="1"/>
  <c r="AB447" i="2" s="1"/>
  <c r="AE447" i="2" s="1"/>
  <c r="AG107" i="2"/>
  <c r="Z445" i="2" s="1"/>
  <c r="AG359" i="2"/>
  <c r="Z462" i="2" s="1"/>
  <c r="AA462" i="2" s="1"/>
  <c r="AB462" i="2" s="1"/>
  <c r="AE462" i="2" s="1"/>
  <c r="AG342" i="2"/>
  <c r="Z461" i="2" s="1"/>
  <c r="AA461" i="2" s="1"/>
  <c r="AG306" i="2"/>
  <c r="Z459" i="2" s="1"/>
  <c r="J20" i="50"/>
  <c r="J54" i="31"/>
  <c r="AG198" i="2"/>
  <c r="Z451" i="2" s="1"/>
  <c r="AG287" i="2"/>
  <c r="Z457" i="2" s="1"/>
  <c r="AA457" i="2" s="1"/>
  <c r="V34" i="2"/>
  <c r="V353" i="2"/>
  <c r="AG19" i="2"/>
  <c r="Z439" i="2" s="1"/>
  <c r="AA439" i="2" s="1"/>
  <c r="AG179" i="2"/>
  <c r="Z450" i="2" s="1"/>
  <c r="AA450" i="2" s="1"/>
  <c r="AB450" i="2" s="1"/>
  <c r="AE450" i="2" s="1"/>
  <c r="V30" i="2"/>
  <c r="J14" i="14"/>
  <c r="F32" i="20"/>
  <c r="G32" i="20" s="1"/>
  <c r="V26" i="2"/>
  <c r="V120" i="2"/>
  <c r="V317" i="2"/>
  <c r="F88" i="2"/>
  <c r="F96" i="2"/>
  <c r="F101" i="2"/>
  <c r="R388" i="37"/>
  <c r="I390" i="37" s="1"/>
  <c r="AG234" i="2"/>
  <c r="Z454" i="2" s="1"/>
  <c r="AA454" i="2" s="1"/>
  <c r="AG323" i="2"/>
  <c r="Z460" i="2" s="1"/>
  <c r="AA460" i="2" s="1"/>
  <c r="AG162" i="2"/>
  <c r="Z449" i="2" s="1"/>
  <c r="AC448" i="2" s="1"/>
  <c r="AD448" i="2" s="1"/>
  <c r="AE448" i="2" s="1"/>
  <c r="AG414" i="2"/>
  <c r="Z466" i="2" s="1"/>
  <c r="AA466" i="2" s="1"/>
  <c r="AB466" i="2" s="1"/>
  <c r="AE466" i="2" s="1"/>
  <c r="AG395" i="2"/>
  <c r="Z465" i="2" s="1"/>
  <c r="AA465" i="2" s="1"/>
  <c r="AB465" i="2" s="1"/>
  <c r="AE465" i="2" s="1"/>
  <c r="AG378" i="2"/>
  <c r="Z464" i="2" s="1"/>
  <c r="AC463" i="2" s="1"/>
  <c r="AD463" i="2" s="1"/>
  <c r="AE463" i="2" s="1"/>
  <c r="AG431" i="2"/>
  <c r="Z468" i="2" s="1"/>
  <c r="AG215" i="2"/>
  <c r="Z453" i="2" s="1"/>
  <c r="AA453" i="2" s="1"/>
  <c r="V101" i="2"/>
  <c r="V192" i="2"/>
  <c r="V336" i="2"/>
  <c r="AG270" i="2"/>
  <c r="Z456" i="2" s="1"/>
  <c r="AA456" i="2" s="1"/>
  <c r="I33" i="26"/>
  <c r="I104" i="5"/>
  <c r="H34" i="20"/>
  <c r="I34" i="20" s="1"/>
  <c r="I107" i="5"/>
  <c r="E30" i="3"/>
  <c r="G30" i="3" s="1"/>
  <c r="E28" i="3"/>
  <c r="E26" i="3"/>
  <c r="E24" i="3"/>
  <c r="E13" i="3"/>
  <c r="B79" i="2"/>
  <c r="X440" i="2"/>
  <c r="AB440" i="2" s="1"/>
  <c r="AE440" i="2" s="1"/>
  <c r="AB441" i="2"/>
  <c r="AE441" i="2" s="1"/>
  <c r="E32" i="3"/>
  <c r="E29" i="3"/>
  <c r="E27" i="3"/>
  <c r="E25" i="3"/>
  <c r="E22" i="3"/>
  <c r="E15" i="3"/>
  <c r="E12" i="3"/>
  <c r="B81" i="2"/>
  <c r="B85" i="2"/>
  <c r="AI44" i="2"/>
  <c r="AI59" i="2"/>
  <c r="X442" i="2"/>
  <c r="AB442" i="2" s="1"/>
  <c r="AE442" i="2" s="1"/>
  <c r="D12" i="2"/>
  <c r="G12" i="2" s="1"/>
  <c r="J12" i="2" s="1"/>
  <c r="D80" i="2" s="1"/>
  <c r="D13" i="2"/>
  <c r="G13" i="2" s="1"/>
  <c r="J13" i="2" s="1"/>
  <c r="D81" i="2" s="1"/>
  <c r="E34" i="3"/>
  <c r="E31" i="3"/>
  <c r="E21" i="3"/>
  <c r="G21" i="3" s="1"/>
  <c r="E19" i="3"/>
  <c r="E17" i="3"/>
  <c r="B80" i="2"/>
  <c r="B95" i="2"/>
  <c r="AI43" i="2"/>
  <c r="M440" i="2"/>
  <c r="X460" i="2"/>
  <c r="J9" i="6"/>
  <c r="J13" i="6" s="1"/>
  <c r="J14" i="6" s="1"/>
  <c r="M26" i="19"/>
  <c r="N22" i="17"/>
  <c r="O22" i="17" s="1"/>
  <c r="I106" i="5"/>
  <c r="X450" i="2"/>
  <c r="H33" i="5"/>
  <c r="H34" i="5"/>
  <c r="AB461" i="2"/>
  <c r="AE461" i="2" s="1"/>
  <c r="AB460" i="2"/>
  <c r="AE460" i="2" s="1"/>
  <c r="J21" i="33"/>
  <c r="K14" i="33"/>
  <c r="F36" i="20"/>
  <c r="G36" i="20" s="1"/>
  <c r="J36" i="20" s="1"/>
  <c r="B35" i="20"/>
  <c r="I105" i="5"/>
  <c r="E35" i="20"/>
  <c r="E33" i="20"/>
  <c r="I37" i="31"/>
  <c r="I38" i="31" s="1"/>
  <c r="I66" i="31" s="1"/>
  <c r="C21" i="5"/>
  <c r="N16" i="28"/>
  <c r="O16" i="28" s="1"/>
  <c r="H32" i="20"/>
  <c r="I32" i="20" s="1"/>
  <c r="B36" i="20"/>
  <c r="H33" i="20"/>
  <c r="I33" i="20" s="1"/>
  <c r="B18" i="14"/>
  <c r="F33" i="20"/>
  <c r="G33" i="20" s="1"/>
  <c r="H35" i="20"/>
  <c r="I35" i="20" s="1"/>
  <c r="J35" i="20" s="1"/>
  <c r="F34" i="20"/>
  <c r="G34" i="20" s="1"/>
  <c r="J34" i="20" s="1"/>
  <c r="B32" i="20"/>
  <c r="E34" i="20"/>
  <c r="O25" i="17"/>
  <c r="M31" i="17"/>
  <c r="I86" i="2"/>
  <c r="I96" i="2"/>
  <c r="J96" i="2" s="1"/>
  <c r="AJ60" i="2" s="1"/>
  <c r="I79" i="2"/>
  <c r="J79" i="2" s="1"/>
  <c r="AJ43" i="2" s="1"/>
  <c r="I88" i="2"/>
  <c r="I94" i="2"/>
  <c r="J94" i="2" s="1"/>
  <c r="AJ58" i="2" s="1"/>
  <c r="I81" i="2"/>
  <c r="I90" i="2"/>
  <c r="I100" i="2"/>
  <c r="J100" i="2" s="1"/>
  <c r="AJ64" i="2" s="1"/>
  <c r="I83" i="2"/>
  <c r="I92" i="2"/>
  <c r="I98" i="2"/>
  <c r="I85" i="2"/>
  <c r="J85" i="2" s="1"/>
  <c r="AJ49" i="2" s="1"/>
  <c r="I95" i="2"/>
  <c r="I78" i="2"/>
  <c r="I87" i="2"/>
  <c r="J87" i="2" s="1"/>
  <c r="AJ51" i="2" s="1"/>
  <c r="I97" i="2"/>
  <c r="J97" i="2" s="1"/>
  <c r="AJ61" i="2" s="1"/>
  <c r="I80" i="2"/>
  <c r="J80" i="2" s="1"/>
  <c r="AJ44" i="2" s="1"/>
  <c r="I89" i="2"/>
  <c r="I99" i="2"/>
  <c r="I82" i="2"/>
  <c r="I91" i="2"/>
  <c r="I101" i="2"/>
  <c r="I84" i="2"/>
  <c r="J84" i="2" s="1"/>
  <c r="AJ48" i="2" s="1"/>
  <c r="I93" i="2"/>
  <c r="AC452" i="2"/>
  <c r="AD452" i="2" s="1"/>
  <c r="AC467" i="2"/>
  <c r="AD467" i="2" s="1"/>
  <c r="AE467" i="2" s="1"/>
  <c r="AA468" i="2"/>
  <c r="AB468" i="2" s="1"/>
  <c r="AE468" i="2" s="1"/>
  <c r="B58" i="3"/>
  <c r="B20" i="2"/>
  <c r="B22" i="3"/>
  <c r="AC458" i="2"/>
  <c r="AD458" i="2" s="1"/>
  <c r="AA459" i="2"/>
  <c r="AB459" i="2" s="1"/>
  <c r="AE459" i="2" s="1"/>
  <c r="G23" i="52"/>
  <c r="E5" i="53"/>
  <c r="AC444" i="2"/>
  <c r="AD444" i="2" s="1"/>
  <c r="AA445" i="2"/>
  <c r="AB445" i="2" s="1"/>
  <c r="AE445" i="2" s="1"/>
  <c r="C60" i="5"/>
  <c r="AA451" i="2"/>
  <c r="B33" i="20"/>
  <c r="E36" i="20"/>
  <c r="J17" i="20"/>
  <c r="J22" i="20" s="1"/>
  <c r="F32" i="3"/>
  <c r="G32" i="3" s="1"/>
  <c r="F31" i="3"/>
  <c r="D29" i="3"/>
  <c r="G29" i="3" s="1"/>
  <c r="D28" i="3"/>
  <c r="D27" i="3"/>
  <c r="D26" i="3"/>
  <c r="G26" i="3" s="1"/>
  <c r="D20" i="3"/>
  <c r="D19" i="3"/>
  <c r="D18" i="3"/>
  <c r="G18" i="3" s="1"/>
  <c r="D12" i="3"/>
  <c r="L462" i="2"/>
  <c r="W468" i="2" s="1"/>
  <c r="V28" i="2"/>
  <c r="V46" i="2"/>
  <c r="V63" i="2"/>
  <c r="V82" i="2"/>
  <c r="V99" i="2"/>
  <c r="V118" i="2"/>
  <c r="V135" i="2"/>
  <c r="V143" i="2" s="1"/>
  <c r="Q446" i="2" s="1"/>
  <c r="S446" i="2" s="1"/>
  <c r="U446" i="2" s="1"/>
  <c r="AK49" i="2" s="1"/>
  <c r="V194" i="2"/>
  <c r="V187" i="2"/>
  <c r="V211" i="2"/>
  <c r="V204" i="2"/>
  <c r="V230" i="2"/>
  <c r="V223" i="2"/>
  <c r="V247" i="2"/>
  <c r="V240" i="2"/>
  <c r="V266" i="2"/>
  <c r="V259" i="2"/>
  <c r="V283" i="2"/>
  <c r="V276" i="2"/>
  <c r="V302" i="2"/>
  <c r="V295" i="2"/>
  <c r="V319" i="2"/>
  <c r="V312" i="2"/>
  <c r="V338" i="2"/>
  <c r="V331" i="2"/>
  <c r="V355" i="2"/>
  <c r="V348" i="2"/>
  <c r="V374" i="2"/>
  <c r="V367" i="2"/>
  <c r="V391" i="2"/>
  <c r="V384" i="2"/>
  <c r="V410" i="2"/>
  <c r="V403" i="2"/>
  <c r="V430" i="2"/>
  <c r="V426" i="2"/>
  <c r="V153" i="2"/>
  <c r="V157" i="2"/>
  <c r="V161" i="2"/>
  <c r="J86" i="2"/>
  <c r="AJ50" i="2" s="1"/>
  <c r="G21" i="15"/>
  <c r="J21" i="15" s="1"/>
  <c r="J24" i="15" s="1"/>
  <c r="D35" i="3"/>
  <c r="D34" i="3"/>
  <c r="F28" i="3"/>
  <c r="F27" i="3"/>
  <c r="D25" i="3"/>
  <c r="F20" i="3"/>
  <c r="F19" i="3"/>
  <c r="D17" i="3"/>
  <c r="G17" i="3" s="1"/>
  <c r="D13" i="3"/>
  <c r="V196" i="2"/>
  <c r="V188" i="2"/>
  <c r="V213" i="2"/>
  <c r="V205" i="2"/>
  <c r="V232" i="2"/>
  <c r="V224" i="2"/>
  <c r="V249" i="2"/>
  <c r="V241" i="2"/>
  <c r="V268" i="2"/>
  <c r="V260" i="2"/>
  <c r="V285" i="2"/>
  <c r="V277" i="2"/>
  <c r="V304" i="2"/>
  <c r="V296" i="2"/>
  <c r="V321" i="2"/>
  <c r="V313" i="2"/>
  <c r="V340" i="2"/>
  <c r="V332" i="2"/>
  <c r="V357" i="2"/>
  <c r="V349" i="2"/>
  <c r="V376" i="2"/>
  <c r="V368" i="2"/>
  <c r="V393" i="2"/>
  <c r="V385" i="2"/>
  <c r="V412" i="2"/>
  <c r="V404" i="2"/>
  <c r="V152" i="2"/>
  <c r="V156" i="2"/>
  <c r="V160" i="2"/>
  <c r="J78" i="2"/>
  <c r="AJ42" i="2" s="1"/>
  <c r="J98" i="2"/>
  <c r="AJ62" i="2" s="1"/>
  <c r="I24" i="15"/>
  <c r="I25" i="15" s="1"/>
  <c r="J64" i="31"/>
  <c r="N22" i="19"/>
  <c r="O22" i="19" s="1"/>
  <c r="C114" i="5"/>
  <c r="C115" i="5" s="1"/>
  <c r="E32" i="20"/>
  <c r="F35" i="3"/>
  <c r="D33" i="3"/>
  <c r="G33" i="3" s="1"/>
  <c r="D24" i="3"/>
  <c r="G24" i="3" s="1"/>
  <c r="D23" i="3"/>
  <c r="D22" i="3"/>
  <c r="G22" i="3" s="1"/>
  <c r="D16" i="3"/>
  <c r="G16" i="3" s="1"/>
  <c r="G37" i="5" s="1"/>
  <c r="D15" i="3"/>
  <c r="F13" i="3"/>
  <c r="V32" i="2"/>
  <c r="V50" i="2"/>
  <c r="V67" i="2"/>
  <c r="V86" i="2"/>
  <c r="V103" i="2"/>
  <c r="V122" i="2"/>
  <c r="V139" i="2"/>
  <c r="V151" i="2"/>
  <c r="V155" i="2"/>
  <c r="J82" i="2"/>
  <c r="AJ46" i="2" s="1"/>
  <c r="J95" i="2"/>
  <c r="AJ59" i="2" s="1"/>
  <c r="J99" i="2"/>
  <c r="AJ63" i="2" s="1"/>
  <c r="J101" i="2"/>
  <c r="AJ65" i="2" s="1"/>
  <c r="J13" i="31"/>
  <c r="J62" i="31"/>
  <c r="J41" i="31"/>
  <c r="J63" i="31"/>
  <c r="J61" i="31"/>
  <c r="J26" i="31"/>
  <c r="J25" i="31"/>
  <c r="J24" i="31"/>
  <c r="J14" i="31"/>
  <c r="J23" i="31"/>
  <c r="I21" i="33"/>
  <c r="F14" i="33"/>
  <c r="G21" i="33" s="1"/>
  <c r="M306" i="37" s="1"/>
  <c r="J19" i="31"/>
  <c r="J28" i="31"/>
  <c r="J27" i="31"/>
  <c r="J21" i="31"/>
  <c r="I97" i="5"/>
  <c r="I727" i="37"/>
  <c r="G13" i="15"/>
  <c r="C108" i="5"/>
  <c r="C109" i="5" s="1"/>
  <c r="F29" i="33"/>
  <c r="I98" i="5"/>
  <c r="F15" i="33"/>
  <c r="F22" i="33" s="1"/>
  <c r="M448" i="2"/>
  <c r="H36" i="5"/>
  <c r="B87" i="2"/>
  <c r="AI51" i="2"/>
  <c r="AA464" i="2" l="1"/>
  <c r="AB464" i="2" s="1"/>
  <c r="AE464" i="2" s="1"/>
  <c r="AG466" i="2" s="1"/>
  <c r="AL64" i="2" s="1"/>
  <c r="AE444" i="2"/>
  <c r="J81" i="2"/>
  <c r="AJ45" i="2" s="1"/>
  <c r="J83" i="2"/>
  <c r="AJ47" i="2" s="1"/>
  <c r="J13" i="23"/>
  <c r="J14" i="23" s="1"/>
  <c r="L17" i="42" s="1"/>
  <c r="G23" i="3"/>
  <c r="V431" i="2"/>
  <c r="Q462" i="2" s="1"/>
  <c r="S462" i="2" s="1"/>
  <c r="U462" i="2" s="1"/>
  <c r="AK65" i="2" s="1"/>
  <c r="U448" i="2"/>
  <c r="AK51" i="2" s="1"/>
  <c r="G25" i="3"/>
  <c r="G31" i="3"/>
  <c r="C9" i="5"/>
  <c r="C26" i="5" s="1"/>
  <c r="D12" i="4" s="1"/>
  <c r="G8" i="52"/>
  <c r="M13" i="23"/>
  <c r="J32" i="20"/>
  <c r="V126" i="2"/>
  <c r="Q445" i="2" s="1"/>
  <c r="S445" i="2" s="1"/>
  <c r="U445" i="2" s="1"/>
  <c r="AK48" i="2" s="1"/>
  <c r="G15" i="3"/>
  <c r="G36" i="5" s="1"/>
  <c r="I35" i="5" s="1"/>
  <c r="V107" i="2"/>
  <c r="Q444" i="2" s="1"/>
  <c r="S444" i="2" s="1"/>
  <c r="U444" i="2" s="1"/>
  <c r="AK47" i="2" s="1"/>
  <c r="AG446" i="2"/>
  <c r="AL48" i="2" s="1"/>
  <c r="AA449" i="2"/>
  <c r="AB449" i="2" s="1"/>
  <c r="AE449" i="2" s="1"/>
  <c r="AG464" i="2"/>
  <c r="AL62" i="2" s="1"/>
  <c r="K21" i="33"/>
  <c r="V90" i="2"/>
  <c r="Q443" i="2" s="1"/>
  <c r="S443" i="2" s="1"/>
  <c r="U443" i="2" s="1"/>
  <c r="AK46" i="2" s="1"/>
  <c r="V71" i="2"/>
  <c r="Q442" i="2" s="1"/>
  <c r="S442" i="2" s="1"/>
  <c r="U442" i="2" s="1"/>
  <c r="AK45" i="2" s="1"/>
  <c r="V54" i="2"/>
  <c r="Q441" i="2" s="1"/>
  <c r="S441" i="2" s="1"/>
  <c r="U441" i="2" s="1"/>
  <c r="AK44" i="2" s="1"/>
  <c r="V36" i="2"/>
  <c r="Q440" i="2" s="1"/>
  <c r="S440" i="2" s="1"/>
  <c r="U440" i="2" s="1"/>
  <c r="AK43" i="2" s="1"/>
  <c r="AG440" i="2"/>
  <c r="AL43" i="2" s="1"/>
  <c r="G12" i="3"/>
  <c r="G33" i="5" s="1"/>
  <c r="AG443" i="2"/>
  <c r="AL46" i="2" s="1"/>
  <c r="G34" i="3"/>
  <c r="G24" i="15"/>
  <c r="G25" i="15" s="1"/>
  <c r="J25" i="15" s="1"/>
  <c r="J26" i="15" s="1"/>
  <c r="N25" i="34"/>
  <c r="Q20" i="42"/>
  <c r="H391" i="37"/>
  <c r="AG445" i="2"/>
  <c r="AL47" i="2" s="1"/>
  <c r="AG441" i="2"/>
  <c r="AL44" i="2" s="1"/>
  <c r="G35" i="3"/>
  <c r="AG442" i="2"/>
  <c r="AL45" i="2" s="1"/>
  <c r="AN45" i="2" s="1"/>
  <c r="AG439" i="2"/>
  <c r="AL42" i="2" s="1"/>
  <c r="AN42" i="2" s="1"/>
  <c r="G27" i="3"/>
  <c r="I37" i="5"/>
  <c r="AG447" i="2"/>
  <c r="AL49" i="2" s="1"/>
  <c r="AN49" i="2" s="1"/>
  <c r="G19" i="3"/>
  <c r="G28" i="3"/>
  <c r="AN48" i="2"/>
  <c r="AG465" i="2"/>
  <c r="AL63" i="2" s="1"/>
  <c r="AN46" i="2"/>
  <c r="J33" i="20"/>
  <c r="G5" i="52"/>
  <c r="I38" i="20"/>
  <c r="G38" i="20"/>
  <c r="AN44" i="2"/>
  <c r="C20" i="5"/>
  <c r="F28" i="33"/>
  <c r="F30" i="33" s="1"/>
  <c r="F31" i="33" s="1"/>
  <c r="N22" i="56"/>
  <c r="B21" i="2"/>
  <c r="B59" i="3"/>
  <c r="B23" i="3"/>
  <c r="C58" i="5"/>
  <c r="J19" i="50"/>
  <c r="V395" i="2"/>
  <c r="Q460" i="2" s="1"/>
  <c r="S460" i="2" s="1"/>
  <c r="U460" i="2" s="1"/>
  <c r="AK63" i="2" s="1"/>
  <c r="V359" i="2"/>
  <c r="Q458" i="2" s="1"/>
  <c r="S458" i="2" s="1"/>
  <c r="U458" i="2" s="1"/>
  <c r="AK61" i="2" s="1"/>
  <c r="V323" i="2"/>
  <c r="Q456" i="2" s="1"/>
  <c r="S456" i="2" s="1"/>
  <c r="U456" i="2" s="1"/>
  <c r="AK59" i="2" s="1"/>
  <c r="V287" i="2"/>
  <c r="Q454" i="2" s="1"/>
  <c r="S454" i="2" s="1"/>
  <c r="V251" i="2"/>
  <c r="Q452" i="2" s="1"/>
  <c r="S452" i="2" s="1"/>
  <c r="V215" i="2"/>
  <c r="Q450" i="2" s="1"/>
  <c r="S450" i="2" s="1"/>
  <c r="L13" i="26"/>
  <c r="L33" i="26" s="1"/>
  <c r="M449" i="2"/>
  <c r="D20" i="2"/>
  <c r="G20" i="2" s="1"/>
  <c r="J20" i="2" s="1"/>
  <c r="D88" i="2" s="1"/>
  <c r="J88" i="2" s="1"/>
  <c r="AJ52" i="2" s="1"/>
  <c r="X451" i="2"/>
  <c r="AE452" i="2" s="1"/>
  <c r="B88" i="2"/>
  <c r="AI52" i="2"/>
  <c r="V414" i="2"/>
  <c r="Q461" i="2" s="1"/>
  <c r="S461" i="2" s="1"/>
  <c r="U461" i="2" s="1"/>
  <c r="AK64" i="2" s="1"/>
  <c r="V378" i="2"/>
  <c r="Q459" i="2" s="1"/>
  <c r="S459" i="2" s="1"/>
  <c r="U459" i="2" s="1"/>
  <c r="AK62" i="2" s="1"/>
  <c r="V342" i="2"/>
  <c r="Q457" i="2" s="1"/>
  <c r="S457" i="2" s="1"/>
  <c r="U457" i="2" s="1"/>
  <c r="AK60" i="2" s="1"/>
  <c r="V306" i="2"/>
  <c r="Q455" i="2" s="1"/>
  <c r="S455" i="2" s="1"/>
  <c r="U455" i="2" s="1"/>
  <c r="AK58" i="2" s="1"/>
  <c r="V270" i="2"/>
  <c r="Q453" i="2" s="1"/>
  <c r="S453" i="2" s="1"/>
  <c r="V234" i="2"/>
  <c r="Q451" i="2" s="1"/>
  <c r="S451" i="2" s="1"/>
  <c r="V198" i="2"/>
  <c r="Q449" i="2" s="1"/>
  <c r="S449" i="2" s="1"/>
  <c r="AG468" i="2"/>
  <c r="AL65" i="2" s="1"/>
  <c r="AN65" i="2" s="1"/>
  <c r="V162" i="2"/>
  <c r="Q447" i="2" s="1"/>
  <c r="S447" i="2" s="1"/>
  <c r="U447" i="2" s="1"/>
  <c r="AK50" i="2" s="1"/>
  <c r="G13" i="3"/>
  <c r="G20" i="3"/>
  <c r="L20" i="50"/>
  <c r="G20" i="52" s="1"/>
  <c r="Q20" i="50"/>
  <c r="M40" i="31"/>
  <c r="N40" i="31" s="1"/>
  <c r="F21" i="33"/>
  <c r="F23" i="33" s="1"/>
  <c r="P23" i="33" s="1"/>
  <c r="F24" i="33" s="1"/>
  <c r="M39" i="31"/>
  <c r="N39" i="31" s="1"/>
  <c r="J38" i="31"/>
  <c r="J67" i="31" s="1"/>
  <c r="J22" i="42" s="1"/>
  <c r="N66" i="31"/>
  <c r="J15" i="14"/>
  <c r="J23" i="14" s="1"/>
  <c r="L23" i="42" s="1"/>
  <c r="G13" i="52" s="1"/>
  <c r="G23" i="14"/>
  <c r="G33" i="26"/>
  <c r="J13" i="26"/>
  <c r="J33" i="26" s="1"/>
  <c r="O25" i="34"/>
  <c r="F16" i="33"/>
  <c r="L19" i="42" l="1"/>
  <c r="G9" i="52" s="1"/>
  <c r="L22" i="42"/>
  <c r="L29" i="42" s="1"/>
  <c r="Q18" i="42"/>
  <c r="AN64" i="2"/>
  <c r="J38" i="20"/>
  <c r="J39" i="20" s="1"/>
  <c r="C23" i="5" s="1"/>
  <c r="AN43" i="2"/>
  <c r="C59" i="5"/>
  <c r="AN47" i="2"/>
  <c r="AB451" i="2"/>
  <c r="AE451" i="2" s="1"/>
  <c r="AN62" i="2"/>
  <c r="Q19" i="42"/>
  <c r="I36" i="5"/>
  <c r="Q23" i="42"/>
  <c r="K42" i="51"/>
  <c r="G10" i="52"/>
  <c r="Q22" i="42"/>
  <c r="M53" i="51"/>
  <c r="AN63" i="2"/>
  <c r="Q15" i="42"/>
  <c r="G34" i="5"/>
  <c r="L12" i="1"/>
  <c r="AG451" i="2"/>
  <c r="AL52" i="2" s="1"/>
  <c r="AG449" i="2"/>
  <c r="AL50" i="2" s="1"/>
  <c r="AN50" i="2" s="1"/>
  <c r="K53" i="51"/>
  <c r="J21" i="50"/>
  <c r="M450" i="2"/>
  <c r="U450" i="2" s="1"/>
  <c r="AK53" i="2" s="1"/>
  <c r="AI53" i="2"/>
  <c r="X453" i="2"/>
  <c r="AB453" i="2" s="1"/>
  <c r="AE453" i="2" s="1"/>
  <c r="D21" i="2"/>
  <c r="G21" i="2" s="1"/>
  <c r="J21" i="2" s="1"/>
  <c r="D89" i="2" s="1"/>
  <c r="J89" i="2" s="1"/>
  <c r="AJ53" i="2" s="1"/>
  <c r="B89" i="2"/>
  <c r="G7" i="52"/>
  <c r="Q17" i="42"/>
  <c r="U449" i="2"/>
  <c r="AK52" i="2" s="1"/>
  <c r="Q19" i="50"/>
  <c r="L19" i="50"/>
  <c r="G19" i="52" s="1"/>
  <c r="B24" i="3"/>
  <c r="B22" i="2"/>
  <c r="B60" i="3"/>
  <c r="AG450" i="2"/>
  <c r="AL51" i="2" s="1"/>
  <c r="AN51" i="2" s="1"/>
  <c r="C17" i="5"/>
  <c r="L34" i="26"/>
  <c r="M33" i="26"/>
  <c r="J18" i="50"/>
  <c r="L18" i="50" s="1"/>
  <c r="C18" i="5"/>
  <c r="Q21" i="42"/>
  <c r="P16" i="33"/>
  <c r="F17" i="33" s="1"/>
  <c r="Q294" i="37"/>
  <c r="C28" i="5" l="1"/>
  <c r="C29" i="5" s="1"/>
  <c r="C31" i="5" s="1"/>
  <c r="M25" i="49"/>
  <c r="G12" i="52"/>
  <c r="AN52" i="2"/>
  <c r="L21" i="50"/>
  <c r="G21" i="52" s="1"/>
  <c r="Q21" i="50"/>
  <c r="D22" i="2"/>
  <c r="G22" i="2" s="1"/>
  <c r="J22" i="2" s="1"/>
  <c r="D90" i="2" s="1"/>
  <c r="J90" i="2" s="1"/>
  <c r="AJ54" i="2" s="1"/>
  <c r="B90" i="2"/>
  <c r="M451" i="2"/>
  <c r="U451" i="2" s="1"/>
  <c r="AK54" i="2" s="1"/>
  <c r="AI54" i="2"/>
  <c r="X454" i="2"/>
  <c r="AB454" i="2" s="1"/>
  <c r="AE454" i="2" s="1"/>
  <c r="Q16" i="42"/>
  <c r="G6" i="52"/>
  <c r="I33" i="5"/>
  <c r="I34" i="5"/>
  <c r="B23" i="2"/>
  <c r="B61" i="3"/>
  <c r="B25" i="3"/>
  <c r="G15" i="52"/>
  <c r="G16" i="52"/>
  <c r="Q18" i="50"/>
  <c r="J22" i="50"/>
  <c r="G11" i="52"/>
  <c r="L24" i="42" l="1"/>
  <c r="J29" i="42"/>
  <c r="K12" i="1" s="1"/>
  <c r="K13" i="1" s="1"/>
  <c r="L13" i="1" s="1"/>
  <c r="L14" i="1" s="1"/>
  <c r="C63" i="5"/>
  <c r="C64" i="5" s="1"/>
  <c r="Q24" i="42"/>
  <c r="Q29" i="42" s="1"/>
  <c r="Q30" i="42" s="1"/>
  <c r="D13" i="4"/>
  <c r="F13" i="4" s="1"/>
  <c r="X455" i="2"/>
  <c r="AB455" i="2" s="1"/>
  <c r="AE455" i="2" s="1"/>
  <c r="AI55" i="2"/>
  <c r="M452" i="2"/>
  <c r="U452" i="2" s="1"/>
  <c r="AK55" i="2" s="1"/>
  <c r="B91" i="2"/>
  <c r="D23" i="2"/>
  <c r="G23" i="2" s="1"/>
  <c r="J23" i="2" s="1"/>
  <c r="D91" i="2" s="1"/>
  <c r="J91" i="2" s="1"/>
  <c r="AJ55" i="2" s="1"/>
  <c r="B24" i="2"/>
  <c r="B62" i="3"/>
  <c r="B26" i="3"/>
  <c r="Q22" i="50"/>
  <c r="Q23" i="50" s="1"/>
  <c r="F38" i="5"/>
  <c r="G38" i="5" s="1"/>
  <c r="C52" i="5"/>
  <c r="G18" i="52"/>
  <c r="L22" i="50"/>
  <c r="L23" i="50" s="1"/>
  <c r="Q24" i="50"/>
  <c r="L30" i="42" l="1"/>
  <c r="J31" i="42" s="1"/>
  <c r="Q31" i="42"/>
  <c r="G14" i="52"/>
  <c r="G22" i="52" s="1"/>
  <c r="S4" i="52" s="1"/>
  <c r="S7" i="52" s="1"/>
  <c r="J24" i="50"/>
  <c r="L14" i="32"/>
  <c r="B25" i="2"/>
  <c r="B27" i="3"/>
  <c r="B63" i="3"/>
  <c r="X456" i="2"/>
  <c r="AB456" i="2" s="1"/>
  <c r="AE456" i="2" s="1"/>
  <c r="AI56" i="2"/>
  <c r="M453" i="2"/>
  <c r="U453" i="2" s="1"/>
  <c r="AK56" i="2" s="1"/>
  <c r="D24" i="2"/>
  <c r="G24" i="2" s="1"/>
  <c r="J24" i="2" s="1"/>
  <c r="D92" i="2" s="1"/>
  <c r="J92" i="2" s="1"/>
  <c r="AJ56" i="2" s="1"/>
  <c r="B92" i="2"/>
  <c r="D105" i="5"/>
  <c r="D104" i="5"/>
  <c r="E12" i="4"/>
  <c r="F12" i="4" s="1"/>
  <c r="F22" i="4" s="1"/>
  <c r="F23" i="4" s="1"/>
  <c r="F24" i="4" s="1"/>
  <c r="C97" i="5"/>
  <c r="D106" i="5"/>
  <c r="C99" i="5"/>
  <c r="C98" i="5"/>
  <c r="C96" i="5"/>
  <c r="C100" i="5" s="1"/>
  <c r="C101" i="5" s="1"/>
  <c r="D107" i="5"/>
  <c r="L13" i="32" l="1"/>
  <c r="L18" i="32" s="1"/>
  <c r="L19" i="32" s="1"/>
  <c r="K4" i="52"/>
  <c r="K6" i="52" s="1"/>
  <c r="O4" i="52"/>
  <c r="O5" i="52" s="1"/>
  <c r="D25" i="2"/>
  <c r="G25" i="2" s="1"/>
  <c r="J25" i="2" s="1"/>
  <c r="D93" i="2" s="1"/>
  <c r="J93" i="2" s="1"/>
  <c r="AJ57" i="2" s="1"/>
  <c r="B93" i="2"/>
  <c r="M454" i="2"/>
  <c r="U454" i="2" s="1"/>
  <c r="AK57" i="2" s="1"/>
  <c r="X457" i="2"/>
  <c r="AI57" i="2"/>
  <c r="S10" i="52"/>
  <c r="S20" i="52"/>
  <c r="S9" i="52"/>
  <c r="S12" i="52"/>
  <c r="S14" i="52"/>
  <c r="S6" i="52"/>
  <c r="S19" i="52"/>
  <c r="S21" i="52"/>
  <c r="S16" i="52"/>
  <c r="S15" i="52"/>
  <c r="S13" i="52"/>
  <c r="S11" i="52"/>
  <c r="S5" i="52"/>
  <c r="S18" i="52"/>
  <c r="S8" i="52"/>
  <c r="O14" i="52" l="1"/>
  <c r="O19" i="52"/>
  <c r="K7" i="52"/>
  <c r="K8" i="52"/>
  <c r="K16" i="52"/>
  <c r="O9" i="52"/>
  <c r="K5" i="52"/>
  <c r="K22" i="52" s="1"/>
  <c r="K11" i="52"/>
  <c r="K15" i="52"/>
  <c r="K12" i="52"/>
  <c r="K13" i="52"/>
  <c r="K21" i="52"/>
  <c r="K14" i="52"/>
  <c r="K10" i="52"/>
  <c r="K9" i="52"/>
  <c r="O13" i="52"/>
  <c r="O12" i="52"/>
  <c r="O15" i="52"/>
  <c r="O11" i="52"/>
  <c r="O20" i="52"/>
  <c r="O10" i="52"/>
  <c r="O16" i="52"/>
  <c r="K19" i="52"/>
  <c r="O7" i="52"/>
  <c r="O6" i="52"/>
  <c r="W6" i="52" s="1"/>
  <c r="K18" i="52"/>
  <c r="K20" i="52"/>
  <c r="O18" i="52"/>
  <c r="O8" i="52"/>
  <c r="O21" i="52"/>
  <c r="H20" i="32"/>
  <c r="AE458" i="2"/>
  <c r="AB457" i="2"/>
  <c r="AE457" i="2" s="1"/>
  <c r="O22" i="52"/>
  <c r="S22" i="52"/>
  <c r="W14" i="52" l="1"/>
  <c r="W8" i="52"/>
  <c r="W19" i="52"/>
  <c r="W7" i="52"/>
  <c r="W9" i="52"/>
  <c r="W5" i="52"/>
  <c r="W16" i="52"/>
  <c r="W13" i="52"/>
  <c r="W10" i="52"/>
  <c r="W11" i="52"/>
  <c r="W15" i="52"/>
  <c r="W21" i="52"/>
  <c r="W12" i="52"/>
  <c r="W20" i="52"/>
  <c r="W18" i="52"/>
  <c r="D6" i="53"/>
  <c r="D52" i="53" s="1"/>
  <c r="I52" i="53" s="1"/>
  <c r="AG459" i="2"/>
  <c r="AL58" i="2" s="1"/>
  <c r="AN58" i="2" s="1"/>
  <c r="AG461" i="2"/>
  <c r="AL60" i="2" s="1"/>
  <c r="AN60" i="2" s="1"/>
  <c r="AG460" i="2"/>
  <c r="AL59" i="2" s="1"/>
  <c r="AN59" i="2" s="1"/>
  <c r="AG462" i="2"/>
  <c r="AL61" i="2" s="1"/>
  <c r="AN61" i="2" s="1"/>
  <c r="AG456" i="2"/>
  <c r="AL56" i="2" s="1"/>
  <c r="AN56" i="2" s="1"/>
  <c r="AG454" i="2"/>
  <c r="AL54" i="2" s="1"/>
  <c r="AN54" i="2" s="1"/>
  <c r="AG453" i="2"/>
  <c r="AL53" i="2" s="1"/>
  <c r="AN53" i="2" s="1"/>
  <c r="AG455" i="2"/>
  <c r="AL55" i="2" s="1"/>
  <c r="AN55" i="2" s="1"/>
  <c r="AG457" i="2"/>
  <c r="AL57" i="2" s="1"/>
  <c r="AN57" i="2" s="1"/>
  <c r="W22" i="52"/>
  <c r="D10" i="53" l="1"/>
  <c r="I10" i="53" s="1"/>
  <c r="I6" i="53"/>
  <c r="D34" i="53"/>
  <c r="I34" i="53" s="1"/>
</calcChain>
</file>

<file path=xl/sharedStrings.xml><?xml version="1.0" encoding="utf-8"?>
<sst xmlns="http://schemas.openxmlformats.org/spreadsheetml/2006/main" count="4997" uniqueCount="1843">
  <si>
    <t>สถานที่……………………………………………………………...โทร………………..</t>
  </si>
  <si>
    <t xml:space="preserve">ได้ </t>
  </si>
  <si>
    <t>เสาล่อฟ้าและอุปกรณ์พร้อมติดตั้ง</t>
  </si>
  <si>
    <t>ตู้ควบคุมชนิดติดตั้งภายนอกมีหมวกกันฝนสาด</t>
  </si>
  <si>
    <t>ข้อความตัวอักษรด้วยสีสะท้อนแสง</t>
  </si>
  <si>
    <t>ตู้</t>
  </si>
  <si>
    <t>วัดความต้านทาน,กระแสไฟฟ้า,วัดแรงดันไฟฟ้าได้</t>
  </si>
  <si>
    <t>ประกอบแบบแปลนการก่อสร้างระบบประปาหมู่บ้าน</t>
  </si>
  <si>
    <t>กรมทรัพยากรน้ำ กระทรวงทรัพยากรธรรมชาติและสิ่งแวดล้อม</t>
  </si>
  <si>
    <t>รายการรายละเอียดเฉพาะแห่ง</t>
  </si>
  <si>
    <t>ออกแบบโดย</t>
  </si>
  <si>
    <t xml:space="preserve">ให้เรียบร้อยก่อนดำเนินการก่อสร้าง </t>
  </si>
  <si>
    <t xml:space="preserve">การใช้ (เครื่องสูบน้ำ) โดยมีคุณสมบัติตามรายละเอียดข้อกำหนดในรายการรายละเอียดเฉพาะแห่ง </t>
  </si>
  <si>
    <t>โดยระบุยี่ห้อ, รุ่น, แบบ, กราฟแสดงประสิทธิภาพการทำงาน (Performance Curve) หรืออื่นๆ ที่ต้อง</t>
  </si>
  <si>
    <t>ประกอบแบบแปลนการก่อสร้างระบบประปาแห่งนี้  ให้แก่คณะกรรมการตรวจการจ้าง ตรวจสอบ</t>
  </si>
  <si>
    <t>และให้ความเห็นชอบก่อนที่จะจัดหาและนำมาติดตั้งในระบบประปา ทั้งนี้ เพื่อประโยชน์ของผู้รับจ้าง</t>
  </si>
  <si>
    <t>เองเป็นสำคัญ</t>
  </si>
  <si>
    <t>หากแบบแปลน, รายการรายละเอียดเฉพาะแห่งฯ, รายการรายละเอียดทั่วไปประกอบแบบแปลนการ</t>
  </si>
  <si>
    <t>ก่อสร้างระบบประปาหมู่บ้าน, บันทึกการชี้สถานที่ก่อสร้าง หรือรายละเอียดอื่นๆ ที่เกี่ยวข้องกับการ</t>
  </si>
  <si>
    <t xml:space="preserve">รายการ ดังนี้ </t>
  </si>
  <si>
    <t>ผู้รับจ้างจะต้องรับรองผลการรับน้ำหนักบรรทุกปลอดภัยของดิน ว่าใช้การได้หรือไม่ มีความคิด</t>
  </si>
  <si>
    <t>เห็นในการออกแบบฐานรากอย่างไร โดยกำหนดชนิดของฐานราก ขนาด ความยาวของเสาเข็ม</t>
  </si>
  <si>
    <t>ประกอบลงในตู้ควบคุมด้วย</t>
  </si>
  <si>
    <t># ให้นำชุดสำหรับสตาร์ทมอเตอร์ ที่มากับเครื่องประกอบลงในตู้ควบคุมด้วย</t>
  </si>
  <si>
    <t>ให้เป็นไปตามข้อกำหนดในรายการรายละเอียดทั่วไป (เล่มสีฟ้า-ขาว)</t>
  </si>
  <si>
    <t xml:space="preserve">ค่าข้อต่อคืน </t>
  </si>
  <si>
    <t xml:space="preserve">แผ่น </t>
  </si>
  <si>
    <t xml:space="preserve">ท่อกรุบ่อตามลำดับ ให้เรียบร้อยตลอดความลึกบ่อ ในการใส่ท่อจะต้องเชื่อมประสานด้วยน้ำยาเชื่อมท่อ </t>
  </si>
  <si>
    <t>และขันสกรูเกลียวปล่อยให้แน่นและดีที่สุด แล้วหย่อนลงบ่อด้วยน้ำหนักของท่อเอง ตัวท่อจะต้องอยู่ใน</t>
  </si>
  <si>
    <t>Lifting หรือวิธีที่เหมาะสม</t>
  </si>
  <si>
    <t>ดอกเบี้ยรวมทั้งโครงการ(%)</t>
  </si>
  <si>
    <t>T  =</t>
  </si>
  <si>
    <t>ระยะเวลา(เดือน)</t>
  </si>
  <si>
    <t>D  =</t>
  </si>
  <si>
    <t>ช่วงเวลาการรับเงิน(เดือน)</t>
  </si>
  <si>
    <t>a  =</t>
  </si>
  <si>
    <t>อัตราเงินล่วงหน้าจ่าย(%)</t>
  </si>
  <si>
    <t>i  =</t>
  </si>
  <si>
    <t>อัตราดอกเบี้ยเงินกู้ต่อปี(%)</t>
  </si>
  <si>
    <t>r  =</t>
  </si>
  <si>
    <t>อัตราเงินประกันผลงาน(%)</t>
  </si>
  <si>
    <t>หน้าที่  36</t>
  </si>
  <si>
    <t>3. กำไร</t>
  </si>
  <si>
    <t>ดอกเบี้ยเงินฝากประจำ 12 เดือน สำหรับนิติบุคคล</t>
  </si>
  <si>
    <t xml:space="preserve">  %(ยกเลิก)</t>
  </si>
  <si>
    <t>ระยะเวลาการเบิกจ่ายค่างาน</t>
  </si>
  <si>
    <t xml:space="preserve">  เดือน(ยกเลิก)</t>
  </si>
  <si>
    <t>กำไรปกติ</t>
  </si>
  <si>
    <t>กำไรเชิงธุรกิจ</t>
  </si>
  <si>
    <t>รวมกำไร</t>
  </si>
  <si>
    <t xml:space="preserve">ค่าแรงเจาะบ่อบาดาล </t>
  </si>
  <si>
    <t xml:space="preserve">เทชานบ่อ คสล. ขนาด 2.00 x 2.00 x 0.10 ม. </t>
  </si>
  <si>
    <t>สกรูเกลียวปล่อย dia 1.5 หุน</t>
  </si>
  <si>
    <t>กล่อง</t>
  </si>
  <si>
    <t xml:space="preserve">สายไฟฟ้าและการเดินสายไฟฟ้าภายใน - ภายนอกอาคาร การต่อลงดิน </t>
  </si>
  <si>
    <t>วิธีการทดสอบ จะทดสอบตั้งแต่ระดับดินเดิมลงไป พร้อมระบุความลึกของชั้นดินถม</t>
  </si>
  <si>
    <t>แผนที่สังเขปตำแหน่งหลุมเจาะชั้นดิน</t>
  </si>
  <si>
    <t>ผู้รับจ้างจะต้องรับผิดชอบค่าใช้จ่ายทั้งหมด ที่เกิดขึ้นหลังจากดำเนินการก่อสร้างแล้วเสร็จ ไปจนกว่า</t>
  </si>
  <si>
    <t>คณะกรรมการตรวจการจ้าง จะส่งมอบระบบประปาให้แก่คณะผู้ผลิตน้ำประปา และคณะกรรมการ</t>
  </si>
  <si>
    <t xml:space="preserve">บริหารกิจการประปาแห่งนั้นๆ โดยทำเป็นหนังสือราชการ </t>
  </si>
  <si>
    <t>และแรงงานที่มีความรู้ ความสามารถ ความชำนาญมีฝีมือดีมาดำเนินงานให้เพียงพอ และก่อสร้าง</t>
  </si>
  <si>
    <t>งานทันเวลาตามสัญญาจ้าง ในกรณีที่งานออกมาไม่ดี ผู้ควบคุมงานหรือคณะกรรมการตรวจการจ้าง</t>
  </si>
  <si>
    <t>สามารถขอเปลี่ยนช่างหรือคนงานได้ โดยผู้รับจ้างต้องจัดหาคนงานใหม่ที่มีความสามารถโดยเร็ว</t>
  </si>
  <si>
    <t>สำหรับงานที่แก้ไข และเวลาที่เสียไปเพราะการนี้  ผู้รับจ้างจะถือเป็นข้ออ้างสำหรับเรียกร้องค่าเสีย</t>
  </si>
  <si>
    <t>หาย หรือขยายเวลาการก่อสร้างมิได้</t>
  </si>
  <si>
    <t>1.9    ระบบท่อส่งน้ำดิบ</t>
  </si>
  <si>
    <t>1.8    ป้ายการประปา</t>
  </si>
  <si>
    <t>1.7    รั้ว,ประตูรั้ว (20x20 ม.)</t>
  </si>
  <si>
    <r>
      <t>1.6    หอถังสูงขนาด 30 ม.</t>
    </r>
    <r>
      <rPr>
        <vertAlign val="superscript"/>
        <sz val="14"/>
        <color indexed="8"/>
        <rFont val="CordiaUPC"/>
        <family val="2"/>
        <charset val="222"/>
      </rPr>
      <t xml:space="preserve">3 </t>
    </r>
    <r>
      <rPr>
        <sz val="14"/>
        <color indexed="8"/>
        <rFont val="CordiaUPC"/>
        <family val="2"/>
        <charset val="222"/>
      </rPr>
      <t>(ตอกเข็ม)</t>
    </r>
  </si>
  <si>
    <r>
      <t>1.4    ถังน้ำใสขนาด 100 ม.</t>
    </r>
    <r>
      <rPr>
        <vertAlign val="superscript"/>
        <sz val="14"/>
        <color indexed="8"/>
        <rFont val="CordiaUPC"/>
        <family val="2"/>
        <charset val="222"/>
      </rPr>
      <t>3</t>
    </r>
    <r>
      <rPr>
        <sz val="14"/>
        <color indexed="8"/>
        <rFont val="CordiaUPC"/>
        <family val="2"/>
        <charset val="222"/>
      </rPr>
      <t xml:space="preserve"> (ตอกเข็ม)</t>
    </r>
  </si>
  <si>
    <t>1.5    ป้ายบอกระดับน้ำในถังน้ำใส</t>
  </si>
  <si>
    <t>จุลชีววิทยา ตามรายละเอียดแบบฟอร์มในเอกสารแนบท้ายนี้ การวิเคราะห์คุณภาพน้ำทั้งหมด จะต้อง</t>
  </si>
  <si>
    <t xml:space="preserve">อยู่ในการควบคุมของนักวิทยาศาสตร์ทางด้านเคมี หรือวิศวกรสิ่งแวดล้อม หรือวิศวกรโยธา หรือนักเคมี </t>
  </si>
  <si>
    <t xml:space="preserve">หรือเจ้าหน้าที่สุขาภิบาล หรือสิ่งแวดล้อม </t>
  </si>
  <si>
    <t>ตามรายละเอียดเอกสารแนบท้ายนี้ ส่งให้คณะกรรมการตรวจการจ้างตรวจสอบ พิจารณาให้ความเห็น</t>
  </si>
  <si>
    <t>ให้เก็บตัวอย่างดิน เพื่อจำแนกชนิดของดิน (Soil Description),หาเปอร์เซนต์ความชื้น</t>
  </si>
  <si>
    <t>ของดิน (Water Content), นับจำนวนครั้งของการกระแทกของลูกตุ้มต่อฟุตของความลึก</t>
  </si>
  <si>
    <t>วันที่ทดสอบ ขณะเวลาทำการทดสอบ ได้แก่ สภาพภูมิอากาศ, อุณหภูมิและระดับน้ำใต้</t>
  </si>
  <si>
    <t>ดิน รวมทั้ง สภาพอื่นๆ ที่จำเป็นต้องนำมาพิจารณาประกอบการสรุปผลการทดสอบ</t>
  </si>
  <si>
    <t xml:space="preserve">ในกรณีที่พบชั้นดินแข็งและมีการนับจำนวนครั้งของการตอกกระแทกของลูกตุ้มต่อฟุต </t>
  </si>
  <si>
    <t>(Blow count) ดังนี้</t>
  </si>
  <si>
    <t>ให้ยุติการทดสอบและถือว่าผลการทดสอบนี้ เพียงพอต่อความต้องการแล้ว</t>
  </si>
  <si>
    <t xml:space="preserve">ในกรณีที่พบชั้นดินแข็ง มีจำนวนครั้งของการตอกกระแทกของลูกตุ้มต่อฟุต ตามข้อ </t>
  </si>
  <si>
    <t xml:space="preserve">5. งานอื่นๆ </t>
  </si>
  <si>
    <t>ต้นไม้กีดขวางอยู่ ผู้รับจ้างต้องทำการแก้ไขปรับสภาพพื้นที่ให้พร้อมและสะดวกในการดำเนินการ</t>
  </si>
  <si>
    <t>ก่อสร้างต่อไป</t>
  </si>
  <si>
    <t>ก่อนที่จะจัดหาและนำมาติดตั้ง เครื่องสูบน้ำ เครื่องมือวิเคราะห์คุณภาพน้ำ สี สารกันซึม และกรวดกรอง</t>
  </si>
  <si>
    <t>ทรายกรองน้ำ ผู้รับจ้างต้องดำเนินการดังนี้</t>
  </si>
  <si>
    <t xml:space="preserve">งานสนาม  นอกจากนี้ยังมีค่าใช้จ่ายด้านดอกเบี้ย ค่าความเสี่ยงต่อความเสียหายจากภัยธรรมชาติหรืออุบัติภัย และภาษีต่างๆ </t>
  </si>
  <si>
    <t>ที่ต้องจ่ายให้แก่รัฐจากเงินที่ได้จากการก่อสร้างนี้</t>
  </si>
  <si>
    <t>สภาพภูมิอากาศของภาคต่างๆ ของประเทศ มีผลกระทบต่อค่าใช้จ่ายต่างๆ ดังกล่าวข้างต้น ในพื้นที่ที่มีฝนตกชุก หรือมี</t>
  </si>
  <si>
    <t>ช่วงเวลาฤดูฝนยาวนานกว่าภาคอื่นๆ จะมีขั่วโมงการทำงานก่อสร้างต่อปีน้อยกว่าพื้นที่แล้งกว่ามีผลทำให้ค่าอำนวยการต่างๆ</t>
  </si>
  <si>
    <t>สูงขึ้นและยังกระทบถีงค่าครอบครองเครื่องจักร  โดยเฉพาะค่าเสื่อมราคาเครื่องจักรจะสูงกว่าเครื่องจักรที่ทำงานในพื้นที่ที่แล้ง</t>
  </si>
  <si>
    <t>กว่า</t>
  </si>
  <si>
    <t>ค่าอำนวยการ</t>
  </si>
  <si>
    <t>ภาษี</t>
  </si>
  <si>
    <t>1. ค่าอำนวยการ</t>
  </si>
  <si>
    <t>ประกอบด้วย</t>
  </si>
  <si>
    <t>ค่าใช้จ่ายในขั้นตอนการทำสัญญา</t>
  </si>
  <si>
    <t>1.1.1  ค่าธรรมเนียมหนังสือค้ำประกันสัญญา(Performance Bond)</t>
  </si>
  <si>
    <t>1.1.2  ค่าธรรมเนียมหนังสือค้ำประกันผลงานก่อสร้าง  2  ปี</t>
  </si>
  <si>
    <t>1.1.3  ค่าอากรแสตมป์ติดสัญญา</t>
  </si>
  <si>
    <t>ช่วง</t>
  </si>
  <si>
    <t>จุด</t>
  </si>
  <si>
    <t xml:space="preserve">คอนกรีต 1 : 2 : 4 </t>
  </si>
  <si>
    <t>รายละเอียดการประมาณราคาค่าก่อสร้าง</t>
  </si>
  <si>
    <t>กระป๋อง</t>
  </si>
  <si>
    <t>ค่าแรงติดตั้งเครื่องสูบน้ำ</t>
  </si>
  <si>
    <t>เครื่อง</t>
  </si>
  <si>
    <t xml:space="preserve">น้ำยาเชื่อมท่อ PVC. ขนาด 1,000 กรัม </t>
  </si>
  <si>
    <t>หน้าที่  10</t>
  </si>
  <si>
    <t>และรายละเอียดเฉพาะแห่งเล่มนี้</t>
  </si>
  <si>
    <t xml:space="preserve">จะต้องเป็นไปตามข้อกำหนดมาตรฐานของการไฟฟ้าส่วนภูมิภาค ดังนี้  </t>
  </si>
  <si>
    <t>ข. กรณีขยายเขตไฟฟ้าแรงต่ำ</t>
  </si>
  <si>
    <t>ข้อต่อเกลียว</t>
  </si>
  <si>
    <t>สรุปผลการประมาณราคาค่าก่อสร้าง</t>
  </si>
  <si>
    <t>ส่วนราชการ</t>
  </si>
  <si>
    <t>งานอาคาร</t>
  </si>
  <si>
    <t>เจ้าของอาคาร</t>
  </si>
  <si>
    <t>หน่วยงานออกแบบแปลนและรายการ</t>
  </si>
  <si>
    <t>แบบเลขที่</t>
  </si>
  <si>
    <t>10002,11010,12100,13030,4001,4003/2,4004/1,4004/2,4005,4006/2 พร้อมด้วยรายการฯ เฉพาะแห่ง,รายการฯ ทั่วไป และ.................</t>
  </si>
  <si>
    <t>ประมาณราคาตามแบบ ปร.4</t>
  </si>
  <si>
    <t>แผ่น</t>
  </si>
  <si>
    <t>ประมาณราคาเมื่อวันที่</t>
  </si>
  <si>
    <t>รายการ</t>
  </si>
  <si>
    <t>ค่าวัสดุและค่าแรงงานรวมเป็นเงิน (บาท)</t>
  </si>
  <si>
    <t>FACTOR F</t>
  </si>
  <si>
    <t>ค่าก่อสร้างทั้งหมดรวมเป็นเงิน (บาท)</t>
  </si>
  <si>
    <t>ประเภทงานอาคาร</t>
  </si>
  <si>
    <t>ประเภทงานทาง</t>
  </si>
  <si>
    <t>ประเภทงานชลประทาน</t>
  </si>
  <si>
    <t>ประเภทงานสะพานและท่อเหลี่ยม</t>
  </si>
  <si>
    <t>เงื่อนไข</t>
  </si>
  <si>
    <t>ดอกเบี้ยเงินฝาก</t>
  </si>
  <si>
    <t>สรุป</t>
  </si>
  <si>
    <t>รวมค่าก่อสร้างเป็นเงินทั้งสิ้น</t>
  </si>
  <si>
    <t>คิดเป็นเงินประมาณการ</t>
  </si>
  <si>
    <t>ตัวอักษร</t>
  </si>
  <si>
    <t>ประมาณการ</t>
  </si>
  <si>
    <t>ตรวจ</t>
  </si>
  <si>
    <t>เห็นชอบ</t>
  </si>
  <si>
    <t>สถานที่ก่อสร้าง</t>
  </si>
  <si>
    <t>รายการเลขที่</t>
  </si>
  <si>
    <t>ค่าก่อสร้าง                      (บาท)</t>
  </si>
  <si>
    <t>ค่าแรง (บาท)     (2)</t>
  </si>
  <si>
    <t>#</t>
  </si>
  <si>
    <t>Over Voltage</t>
  </si>
  <si>
    <t>Under Voltage</t>
  </si>
  <si>
    <t>ประแจคอม้า ขนาด 24"</t>
  </si>
  <si>
    <t>ประแจเลื่อน ขนาด 10"</t>
  </si>
  <si>
    <t>เลื่อยตัดเหล็ก 1 อัน พร้อมใบเลื่อย 1 โหล ขนาด 12"</t>
  </si>
  <si>
    <t>ไขควงปากแฉก ขนาด 4"</t>
  </si>
  <si>
    <t>ไขควงปากแบน ขนาด 4"</t>
  </si>
  <si>
    <t xml:space="preserve">ค้อนหัวกลม ขนาดหนัก 2 ปอนด์ </t>
  </si>
  <si>
    <t>เครื่องมือตรวจวัดความเป็นกรด-ด่างในน้ำ</t>
  </si>
  <si>
    <t>เครื่องมือตรวจวัดสารละลายเหล็กในน้ำ</t>
  </si>
  <si>
    <t>โครงสร้างคอนกรีตภายนอกทั้งหมดให้ทำการฉาบปูนเรียบ และทาสีน้ำพลาสติกส่วนที่</t>
  </si>
  <si>
    <t>ทั่วไปประกอบแบบแปลนการก่อสร้างระบบระปา และให้เขียนข้อความที่กลางถังน้ำของหอถังสูงว่า</t>
  </si>
  <si>
    <t xml:space="preserve">แบบฟอร์มรายงานผลการทดสอบปริมาณน้ำ และวิเคราะห์คุณภาพน้ำดิบระบบประปาหมู่บ้าน </t>
  </si>
  <si>
    <t>โดยบันทึกเป็นลายลักษณ์อักษร เพื่อเป็นเอกสารประกอบสัญญาการก่อสร้างต่อไป</t>
  </si>
  <si>
    <t>คุณภาพน้ำ ตามที่ต้องการให้ขึ้นอยู่ในดุลยพินิจของผู้รับจ้าง และช่างผู้ควบคุมงานในการพิจารณา</t>
  </si>
  <si>
    <t>ดำเนินการต่อไป ว่าจะเจาะต่อไปหรือไม่ หรือหาจุดเจาะบ่อบาดาลใหม่ทดแทน</t>
  </si>
  <si>
    <t>ตามที่ต้องการให้ขึ้นอยู่ในดุลยพินิจของผู้รับจ้าง และช่างผู้ควบคุมงานในการพิจารณาดำเนินการต่อไป</t>
  </si>
  <si>
    <t>ว่าจะเจาะบ่อบาดาลอีกต่อไปหรือไม่ หรือหยุดเพียงจุดนั้น ในกรณีที่เจาะบ่อบาดาลไม่ถึงระดับที่กำหนด</t>
  </si>
  <si>
    <t xml:space="preserve">มาพล๊อตลงในกราฟเซมิล็อค (Semi-Log Graph) โดยให้ค่าปริมาณน้ำอยู่ในแกนนอน </t>
  </si>
  <si>
    <t xml:space="preserve">(โดยใช้สเกลล็อค) และค่าระยะน้ำลดอยู่ในแกนตั้งทิศทางลง  </t>
  </si>
  <si>
    <t xml:space="preserve">การทำงานทั้งหมดจะต้องอยู่ในการควบคุมของวิศวกรโยธา หรือวิศวกรเครื่องกล ที่ได้รับใบอนุญาต </t>
  </si>
  <si>
    <t>เครื่องมือทดสอบในสนาม (Field Test Kit) และห้องปฏิบัติการ (Laboratory) โดยสถาบันที่เชื่อถือได้</t>
  </si>
  <si>
    <t>เร็ว และทั้งนี้จะไม่ยกเป็นเหตุอ้างในการต่ออายุสัญญา ผู้รับจ้างต้องปฏิบัติตามคำแนะนำโดยเคร่งครัด ทั้งนี้เพื่อ</t>
  </si>
  <si>
    <t>ประโยชน์ของผู้รับจ้างเองเป็นสำคัญ</t>
  </si>
  <si>
    <t>สำหรับรายการรายละเอียดเฉพาะแห่งฯ เล่มนี้ ประกอบด้วยรายละเอียดที่ผู้รับจ้าง</t>
  </si>
  <si>
    <t>ต้องดำเนินการ เพื่อให้งานก่อสร้างแล้วเสร็จ ถูกต้องตามแบบแปลนทุกประการ ดังนี้</t>
  </si>
  <si>
    <t>ข้อกำหนดในการก่อสร้างระบบประปาหมู่บ้าน</t>
  </si>
  <si>
    <t>สรุปรายการก่อสร้างและแบบแปลนที่ใช้ในการก่อสร้างระบบประปา</t>
  </si>
  <si>
    <t>รายละเอียดที่ผู้รับจ้างต้องดำเนินการก่อสร้าง จัดหา จัดทำ และติดตั้ง</t>
  </si>
  <si>
    <t>เอกสารแนบท้าย ประกอบด้วย</t>
  </si>
  <si>
    <t>ข้อมูลผลการวิเคราะห์คุณภาพน้ำดิบ</t>
  </si>
  <si>
    <t>การชี้สถานที่การก่อสร้าง ผู้ว่าจ้างหรือคณะกรรมการชี้สถานที่ ต้องนำผู้รับจ้างเข้าดูพื้นที่พร้อมแจ้ง</t>
  </si>
  <si>
    <t>ท่อน</t>
  </si>
  <si>
    <t>น้ำ (โดยการควบคุมประตูน้ำ) ให้มีปริมาณน้ำออกมากที่สุด และน้ำไม่ขาดช่วงในระยะ</t>
  </si>
  <si>
    <t xml:space="preserve">วัดระยะน้ำลด (Drawdown) โดยวิธีอิเล็คตริคซาวน์เดอร์ (Electric Sounder) หรือวิธี </t>
  </si>
  <si>
    <t>อิเล็คตริกเดปท์เกจย์ (Electric Gauge)</t>
  </si>
  <si>
    <t xml:space="preserve">ที่สามารถหาได้ </t>
  </si>
  <si>
    <t>ให้ผู้รับจ้างจัดหาเครื่องมือตรวจวัดความ</t>
  </si>
  <si>
    <t>ดังนี้ คือ</t>
  </si>
  <si>
    <t>(ไม่เป็นกระดาษ)</t>
  </si>
  <si>
    <t xml:space="preserve"> ไม่หลอกตา และสามารถทำความสะอาดได้ง่าย</t>
  </si>
  <si>
    <t>ให้ผู้รับจ้างจัดหาเครื่องมือตรวจวัดสารละลาย</t>
  </si>
  <si>
    <t>หมู่บ้าน โดยผ่านการตรวจสอบและเห็นชอบจากคณะกรรมการตรวจการจ้างก่อน ซึ่งมีรายละเอียด</t>
  </si>
  <si>
    <t>ไม่หลอกตา และสามารถทำความสะอาดได้ง่าย</t>
  </si>
  <si>
    <t>(  นายประเสริฐ  บัวดำ  )</t>
  </si>
  <si>
    <t>1.1.4  ค่าเงินสมทบกองทุนทดแทนและกองทุนประกันสังคม</t>
  </si>
  <si>
    <t>ค่าใช้จ่ายสำนักงานสนาม ที่พักเจ้าหน้าที่และยานพาหนะ</t>
  </si>
  <si>
    <t>ค่าใช้จ่ายบุคคลากรและค่าใช้จ่ายสำนักงานใหญ่</t>
  </si>
  <si>
    <t>ค่าธรรมเนียมประกันภัยโครงการ</t>
  </si>
  <si>
    <t>หน้าที่ 3</t>
  </si>
  <si>
    <t>2. การคิดค่าดอกเบี้ย</t>
  </si>
  <si>
    <t xml:space="preserve">     คำนวณจากอัตราดอกเบี้ยเงินกู้ขั้นต่ำ ( MLR ) ของธนาคารกรุงไทย จำกัด ( มหาชน )  ซึ่งสำนักงานปลัดสำนักนายก</t>
  </si>
  <si>
    <t>รัฐมนตรี จะเป็นผู้แจ้งเวียนอัตราดอกเบี้ดังกล่าวให้หน่วยราชการทราบ</t>
  </si>
  <si>
    <t xml:space="preserve">     เนื่องจาก  การดำเนินการก่อสร้างต้องใช้วงเงินลงทุนสูงมาก  บางครั้งจำเป็นต้องกู้ยืมจากสถาบันการเงิน   เพื่อมาใช้</t>
  </si>
  <si>
    <t>หมุนเวียนในงานก่อสร้าง  แม้ว่าทางราชการจะมีการจ่ายเงินล่วงหน้าให้แก่ผู้รับจ้าง  เพื่อใช้หมุนเวียนในการเตรียมงานก่อสร้าง</t>
  </si>
  <si>
    <t>จำนวนร้อยละ 10  ของค่างานทั้งโครงการแล้วก็ตาม  เงินจำนวนนี้จะพอเพียงสำหรับการเตรียมการเบื้องต้น  และจัดหาวัสดุมา</t>
  </si>
  <si>
    <t>ใช้ก่อสร้างได้เพียงบางส่วนเท่านั้น นอกจากนี้เงินจ่ายล่วงหน้าจะถูกหักคืนทุกงวดที่ทางราชการจ่ายค่างาน และยังมีการหักเงิน</t>
  </si>
  <si>
    <t>ประกันผลงานจากค่างานที่จ่ายให้อีกด้วย  ดังนั้นจึงยังคงต้องมีการกู้ยืมเงินมาใช้หมุนเวียน</t>
  </si>
  <si>
    <t xml:space="preserve">    โดยทั่วไปดอกเบี้ยจะคิดให้สำหรับระยะเวลาประมาณ 3 เดือนหรือ 1/4 ของปี  เพราะในการทำงานผู้รับจ้างต้องจัดหา</t>
  </si>
  <si>
    <t>วัสดุล่วงหน้าและภายหลังส่งมอบงานแต่ละงวดแล้วยังต้องรอขั้นตอนการเบิกจ่ายค่างานอีก</t>
  </si>
  <si>
    <t>3. การคิดกำไร</t>
  </si>
  <si>
    <t xml:space="preserve">    อัตรากำไรกำหนดโดยใช้อัตรากำไรทางธุรกิจ ( Financial  Profit ) คือกำไรเชิงธุรกิจ ( Excess Profit ) หมายถึงส่วนที่</t>
  </si>
  <si>
    <t>สูงกว่าอัตราดอกเบี้ยเงินฝากประจำ  ฃึ่งจะต้องมีค่าเพียงพอที่จะดึงดูดผู้ลงทุนให้สนใจมาลงทุน</t>
  </si>
  <si>
    <t>4. การคิดค่าภาษี</t>
  </si>
  <si>
    <t xml:space="preserve">    ภาษีที่ผู้รับจ้างจะต้องจ่ายคือ ภาษีมูลค่าเพิ่ม ( VAT ) ในอัตราปัจจุบันโดยหัก ณ ที่จ่าย </t>
  </si>
  <si>
    <t>หน้าที่  4</t>
  </si>
  <si>
    <t>หน้าที่  7</t>
  </si>
  <si>
    <t>หน้าที่  20</t>
  </si>
  <si>
    <t>หน้าที่  33</t>
  </si>
  <si>
    <t>1.2 ค่าใช้จ่ายเกี่ยวกับสำนักงานสนาม,ที่พักคนงานและโรงงานฯ (งานก่อสร้างอาคาร)</t>
  </si>
  <si>
    <t>1.3 ค่าใช้จ่ายเกี่ยวกับการบริหารโครงการและบุคคลากร(งานก่อสร้างอาคาร)</t>
  </si>
  <si>
    <t>1.4 ค่าใช้จ่ายในการประกันภัยโครงการ</t>
  </si>
  <si>
    <t>1.2.1 กรณีค่างานลงทุนไม่เกิน</t>
  </si>
  <si>
    <t xml:space="preserve">  ล้านบาท</t>
  </si>
  <si>
    <t xml:space="preserve">จัดส่งรายละเอียดและแคตตาล๊อก เครื่องสูบน้ำดิบ แบบซับเมิสซิเบิ้ล </t>
  </si>
  <si>
    <t>หน้าที่  23</t>
  </si>
  <si>
    <t>1.2.7 กรณีค่างานลงทุนไม่เกิน</t>
  </si>
  <si>
    <t>1.3.7 กรณีค่างานลงทุนไม่เกิน</t>
  </si>
  <si>
    <t>1.2.8 กรณีค่างานลงทุนไม่เกิน</t>
  </si>
  <si>
    <t>1.3.8 กรณีค่างานลงทุนไม่เกิน</t>
  </si>
  <si>
    <t>หน้าที่  11</t>
  </si>
  <si>
    <t>หน้าที่  24</t>
  </si>
  <si>
    <t>1.2.9 กรณีค่างานลงทุนไม่เกิน</t>
  </si>
  <si>
    <t>1.3.9 กรณีค่างานลงทุนไม่เกิน</t>
  </si>
  <si>
    <t>1.2.10 กรณีค่างานลงทุนไม่เกิน</t>
  </si>
  <si>
    <t>1.3.10 กรณีค่างานลงทุนไม่เกิน</t>
  </si>
  <si>
    <t>หน้าที่  12</t>
  </si>
  <si>
    <t>หน้าที่  25</t>
  </si>
  <si>
    <t>1.2.11 กรณีค่างานลงทุนไม่เกิน</t>
  </si>
  <si>
    <t>1.3.11 กรณีค่างานลงทุนไม่เกิน</t>
  </si>
  <si>
    <t>1.2.12 กรณีค่างานลงทุนไม่เกิน</t>
  </si>
  <si>
    <t>1.3.12 กรณีค่างานลงทุนไม่เกิน</t>
  </si>
  <si>
    <t>หน้าที่  13</t>
  </si>
  <si>
    <t>หน้าที่  26</t>
  </si>
  <si>
    <t>1.2.13 กรณีค่างานลงทุนไม่เกิน</t>
  </si>
  <si>
    <t>1.3.13 กรณีค่างานลงทุนไม่เกิน</t>
  </si>
  <si>
    <t>เงื่อนไข, หลักเกณฑ์, ประเภทงานก่อสร้าง, สูตร และวิธีการคำนวณที่ใช้กับสัญญาแบบปรับราคา</t>
  </si>
  <si>
    <t>ที่ดิน และตรวจสอบความถูกต้องของระยะและตำแหน่งของสิ่งก่อสร้างต่างๆ ตามแบบเลขที่………</t>
  </si>
  <si>
    <t>ละเอียดดังนี้ คือ</t>
  </si>
  <si>
    <t xml:space="preserve">ประปาหมู่บ้าน โดยผ่านการตรวจสอบและเห็นชอบจากคณะกรรมการตรวจการจ้างก่อน  ซึ่งมีราย </t>
  </si>
  <si>
    <t>น๊อตยึดหน้าจาน</t>
  </si>
  <si>
    <t xml:space="preserve">กรวดกรองน้ำ ขนาด 1/4" - 3/8" </t>
  </si>
  <si>
    <t xml:space="preserve">โคลนวิทยาศาสตร์ </t>
  </si>
  <si>
    <t>กระสอบ</t>
  </si>
  <si>
    <t>น้ำมันเชื้อเพลิง(โซล่า)</t>
  </si>
  <si>
    <t xml:space="preserve">ลิตร </t>
  </si>
  <si>
    <t>ระบบไฟฟ้าควบคุมการทำงานของเครื่องสูบน้ำดิบ โดยผู้รับจ้างจะต้องทำการทดสอบการทำงาน</t>
  </si>
  <si>
    <t xml:space="preserve">ของระบบประปาดังกล่าวข้างต้นจนใช้งานได้ดี และเป็นที่พอใจแก่คณะกรรมการตรวจการจ้าง </t>
  </si>
  <si>
    <t xml:space="preserve">และสอนการควบคุมการทำงานระบบประปา ให้แก่ผู้ผลิต และคณะกรรมการบริหารกิจการ </t>
  </si>
  <si>
    <t xml:space="preserve">ประปาจนสามารถใช้งานได้ </t>
  </si>
  <si>
    <t>เสร็จเรียบร้อยแล้ว ให้ทำการปรับพื้นที่ให้เรียบร้อยจนเป็นที่พอใจแก่คณะกรรมการตรวจการจ้าง</t>
  </si>
  <si>
    <t>%%%%%%%%%%%%%%%%%%%%%%%%%</t>
  </si>
  <si>
    <t>ค่า</t>
  </si>
  <si>
    <t>รวม</t>
  </si>
  <si>
    <t>Factor</t>
  </si>
  <si>
    <t xml:space="preserve">(VAT) </t>
  </si>
  <si>
    <t>อำนวยการ</t>
  </si>
  <si>
    <t>ดอกเบี้ย</t>
  </si>
  <si>
    <t>กำไร</t>
  </si>
  <si>
    <t>ค่าใช้จ่าย</t>
  </si>
  <si>
    <t>&lt;</t>
  </si>
  <si>
    <t>&gt;</t>
  </si>
  <si>
    <t xml:space="preserve">         ต.ค. 2544</t>
  </si>
  <si>
    <t>หน้าที่ 2</t>
  </si>
  <si>
    <t>หลักเกณฑ์การใช้ตาราง Factor F</t>
  </si>
  <si>
    <t>กรณีค่างานอยู่ระหว่างช่วงของค่างานต้นทุนที่กำหนด  ให้เทียบอัตราส่วนเพื่อหา Factor F</t>
  </si>
  <si>
    <t xml:space="preserve">ข้อต่อเกลียวนอก PVC. dia. 3" ชั้น 13.5 </t>
  </si>
  <si>
    <t>[  ] ติดตั้งหม้อแปลง 1 เฟส ขนาด.........KVA.</t>
  </si>
  <si>
    <t>[  ] ติดตั้งหม้อแปลง 3 เฟส ขนาด.........KVA.</t>
  </si>
  <si>
    <t>[  ] แผนกคาปาชิเตอร์</t>
  </si>
  <si>
    <t>ติดตั้งมิเตอร์ขนาด 1 เฟส 10 แอมป์</t>
  </si>
  <si>
    <t>ข. ระบบไฟฟ้าภายใน (ผู้รับจ้างดำเนินการ)</t>
  </si>
  <si>
    <t>ก) กำหนดคืนเงินค่าใช้จ่ายในการตอกเสาเข็ม กรณีผลการทดสอบดินปรากฎว่าไม่ตอกเสาเข็ม ดังรายการต่อไปนี้</t>
  </si>
  <si>
    <t>รวม (บาท)         (1)+(2)+(3)</t>
  </si>
  <si>
    <t>รวม (บาท)           (1)+(2)+(3)</t>
  </si>
  <si>
    <t>รายประมาณการค่าก่อสร้าง    ระบบประปาหมู่บ้านแบบบาดาลขนาดใหญ่ ประจำปีงบประมาณ 2546</t>
  </si>
  <si>
    <t>10002,11010,12100,13030,4001,4003/2,4004/1,4004/2,4005,4006/2 พร้อมด้วยรายการฯ เฉพาะแห่ง,รายการฯ ทั่วไป และ………..</t>
  </si>
  <si>
    <t>รายละเอียดในการก่อสร้างเพิ่มเติมจากรูปแบบ โดยระบุสถานที่ก่อสร้าง ขนาดที่ตั้งระบบประปา แนว</t>
  </si>
  <si>
    <t>การถางป่าขุดตอ ปรับพื้นที่ เมื่อผู้รับจ้างรับรู้สถานที่ก่อสร้างจากคณะกรรมการชี้สถานที่แล้ว ผู้รับจ้าง</t>
  </si>
  <si>
    <t>การก่อสร้างมีอุปสรรคหรือสิ่งกีดขวาง เช่น ระดับดินเดิมสภาพพื้นที่มีความสูง-ต่ำ มีสิ่งปลูกสร้างหรือ</t>
  </si>
  <si>
    <t>การปักผังถ่ายระดับ, การกำหนดขอบเขตการก่อสร้าง เมื่อผู้รับจ้างได้ทำการปรับสภาพพื้นที่เรียบร้อย</t>
  </si>
  <si>
    <t>แล้ว ผู้รับจ้างต้องทำการปักผังขอบเขตการก่อสร้าง พร้อมกำหนดจุดที่ตั้งของโครงสร้างหลักของระบบ</t>
  </si>
  <si>
    <t>ประปานั้นๆ ให้ถูกต้อง ตามแบบเลขที่......</t>
  </si>
  <si>
    <t>โดยการโรยด้วยปูนขาว หรือขึงเชือกจากผังที่ได้</t>
  </si>
  <si>
    <t xml:space="preserve">    (หลอดไฟสีแดง)</t>
  </si>
  <si>
    <t xml:space="preserve">    (หลอดไฟสีเขียว)</t>
  </si>
  <si>
    <t xml:space="preserve">    หรือขัดข้อง(หลอดไฟสีเหลือง)</t>
  </si>
  <si>
    <t xml:space="preserve">ส่วนบริหารจัดการน้ำ </t>
  </si>
  <si>
    <t>ประตูน้ำระบายอากาศ ขนาด 1/2 นิ้ว</t>
  </si>
  <si>
    <t>ส่วนบริหารจัดการน้ำ</t>
  </si>
  <si>
    <t>สำนักงานทรัพยากรน้ำภาค 10 จังหวัดสุราษฎร์ธานี</t>
  </si>
  <si>
    <t>โทร.0-7720-0788, 0-7727-2942</t>
  </si>
  <si>
    <t xml:space="preserve">โทรสาร 0-7720-0788 </t>
  </si>
  <si>
    <t>เหล็กเส้นกลม dia. 9 มม. (4.99 กก./เส้น)</t>
  </si>
  <si>
    <t>คอนกรีต 1 : 3 : 5</t>
  </si>
  <si>
    <t>ตะปู</t>
  </si>
  <si>
    <t>ลวดผูกเหล็ก No 18</t>
  </si>
  <si>
    <t>เหล็กเส้นกลม dia. 12 มม. (8.88 กก./เส้น)</t>
  </si>
  <si>
    <t>เหล็กเส้นกลม dia. 15 มม. (13.87 กก./เส้น)</t>
  </si>
  <si>
    <t xml:space="preserve">ค่าเคลื่อนย้ายปั้นจั่น </t>
  </si>
  <si>
    <t>เหมา</t>
  </si>
  <si>
    <t xml:space="preserve">โดยมีรายละเอียดตามเอกสารแนบท้ายนี้ </t>
  </si>
  <si>
    <t>ความยาวรวม……..</t>
  </si>
  <si>
    <t>2. เสารับท่อส่งน้ำดิบ</t>
  </si>
  <si>
    <t>3. อุปกรณ์อื่น ๆ</t>
  </si>
  <si>
    <t>ก.ระบบไฟฟ้าภายนอก (การไฟฟ้าฯ ดำเนินการ)</t>
  </si>
  <si>
    <t xml:space="preserve">ขยายเขตแรงสูง </t>
  </si>
  <si>
    <t>ติดตั้งมิเตอร์ขนาด 1 เฟส 15 แอมป์</t>
  </si>
  <si>
    <t>ค่าธรรมเนียมต่างๆ</t>
  </si>
  <si>
    <t>ค่าประกันการใช้ไฟฟ้า</t>
  </si>
  <si>
    <t xml:space="preserve">รวมเงิน  </t>
  </si>
  <si>
    <t xml:space="preserve">คิดเป็นเงินค่างาน  </t>
  </si>
  <si>
    <t>แต่ละตู้มีรายละเอียดดังต่อไปนี้</t>
  </si>
  <si>
    <t># หากมีการขอใช้เครื่องสูบน้ำขนาดแรงม้าเกินกว่าที่กำหนดไว้ข้างต้น ผู้รับจ้างจะต้องใช้ขนาดอุปกรณ์</t>
  </si>
  <si>
    <t xml:space="preserve">5. ระบบท่อและอุปกรณ์ </t>
  </si>
  <si>
    <t>ท่อเหล็กอาบสังกะสี+ข้อต่อยาว6ม. dia 1/2"</t>
  </si>
  <si>
    <t xml:space="preserve">ข้องอ 90 เหล็กอาบสังกะสี dia. 3" </t>
  </si>
  <si>
    <t xml:space="preserve">ข้องอ 90 เหล็กอาบสังกะสี dia. 1/2" </t>
  </si>
  <si>
    <t xml:space="preserve">สามทาง เหล็กอาบสังกะสี dia. 1/2" </t>
  </si>
  <si>
    <t xml:space="preserve">ประตูน้ำทองเหลือง dia. 1/2" </t>
  </si>
  <si>
    <t>6. งานปูนฉาบ, ตบแต่ง</t>
  </si>
  <si>
    <t>7. งานทาสี</t>
  </si>
  <si>
    <t xml:space="preserve">8. งานฐานราก </t>
  </si>
  <si>
    <t xml:space="preserve">9. งานอื่นๆ </t>
  </si>
  <si>
    <t xml:space="preserve">ประตูน้ำทองเหลือง dia. 3" </t>
  </si>
  <si>
    <t xml:space="preserve">เพรชเชอร์สวิทซ์ พร้อมเกย์วัดแรงดัน </t>
  </si>
  <si>
    <t xml:space="preserve">นิปเปิ้ลเหล็กอาบสังกะสี dia. 3" </t>
  </si>
  <si>
    <t xml:space="preserve">นิปเปิ้ลเหล็กอาบสังกะสี dia. 1/2" </t>
  </si>
  <si>
    <t>ซึ่งถือเป็นส่วนหนึ่งของสัญญา มีความขัดแย้งกันให้ผู้รับจ้างถือปฏิบัติตามควรก่อนหลัง ดังนี้</t>
  </si>
  <si>
    <r>
      <t>1.3    ระบบกรองน้ำบาดาลขนาด 10 ม.</t>
    </r>
    <r>
      <rPr>
        <vertAlign val="superscript"/>
        <sz val="14"/>
        <color indexed="8"/>
        <rFont val="CordiaUPC"/>
        <family val="2"/>
        <charset val="222"/>
      </rPr>
      <t>3</t>
    </r>
    <r>
      <rPr>
        <sz val="14"/>
        <color indexed="8"/>
        <rFont val="CordiaUPC"/>
        <family val="2"/>
        <charset val="222"/>
      </rPr>
      <t>/ชม. (ตอกเข็ม)</t>
    </r>
  </si>
  <si>
    <t>1.1    ทดสอบการรับน้ำหนักบรรทุกของดินจำนวน 1 จุด</t>
  </si>
  <si>
    <t>1.2    โรงสูบน้ำแบบ ข</t>
  </si>
  <si>
    <t>2.1    ระบบท่อจ่ายน้ำประปา</t>
  </si>
  <si>
    <t>3.4    ระบบจ่ายสารละลายคลอรีน</t>
  </si>
  <si>
    <t>3.5    เครื่องมือประจำการประปา</t>
  </si>
  <si>
    <t>3.6    เครื่องมือตรวจวัดสารละลายเหล็กในน้ำ</t>
  </si>
  <si>
    <t>3.7    เครื่องมือตรวจวัดความเป็นกรด-ด่างในน้ำ</t>
  </si>
  <si>
    <t>3.3    การประสานระบบไฟฟ้า (ภายนอก)</t>
  </si>
  <si>
    <t>ประมาณราคาโดย……………………………………………………                   ตรวจ…………………………………………………..</t>
  </si>
  <si>
    <t xml:space="preserve">                                (………………………………………………....)                              (………………………………………………...)</t>
  </si>
  <si>
    <t xml:space="preserve">                    ตรวจ……………………………………………………                 เห็นชอบ………………….…………………………..</t>
  </si>
  <si>
    <t>1.10  เครื่องสูบน้ำบาดาลพร้อมอุปกรณ์ควบคุมจำนวน 1 ชุด</t>
  </si>
  <si>
    <t>1.11  เครื่องสูบน้ำดีพร้อมอุปกรณ์ควบคุมจำนวน 2 ชุด</t>
  </si>
  <si>
    <t>1.12  การประสานท่อระหว่างระบบ</t>
  </si>
  <si>
    <t>1.13  การประสานท่อที่ปากบ่อบาดาล</t>
  </si>
  <si>
    <t>1.14  การประสานท่อภายในโรงสูบน้ำดี 2 ชุด</t>
  </si>
  <si>
    <t>1.15  การประสานระบบไฟฟ้า (ภายใน)</t>
  </si>
  <si>
    <t>ยอดยกไป</t>
  </si>
  <si>
    <t>ยอดยกมา</t>
  </si>
  <si>
    <t>1.16  ติดตั้งระบบจ่ายสารละลายคลอรีน</t>
  </si>
  <si>
    <t>1.17  รางระบายน้ำ</t>
  </si>
  <si>
    <t>3.1    เครื่องสูบน้ำบาดาล จำนวน 1 ชุด</t>
  </si>
  <si>
    <t>3.2    เครื่องสูบน้ำดี จำนวน 2 ชุด</t>
  </si>
  <si>
    <t>3.8    ค่าขนส่ง</t>
  </si>
  <si>
    <t>สำนักบริหารจัดการน้ำ  กรมทรัพยากรน้ำ</t>
  </si>
  <si>
    <t>กรมทรัพยากรน้ำ</t>
  </si>
  <si>
    <t>–</t>
  </si>
  <si>
    <t>( ตัวอักษร )</t>
  </si>
  <si>
    <t>ประปาหมู่บ้านแบบบาดาลขนาดกลาง เป็นแบบผิวดินขนาดกลาง โดยหาแหล่งน้ำในพื้นที่ที่ไกล้เคียง</t>
  </si>
  <si>
    <t>โครงสร้างคอนกรีตภายนอกทั้งหมดให้ทำการฉาบปูนเรียบ และทาสีน้ำพลาสติกส่วนที่อยู่บนดิน สำหรับ</t>
  </si>
  <si>
    <t xml:space="preserve">แบบแปลนการก่อสร้างระบบระปา </t>
  </si>
  <si>
    <t>โดยมีข้อความดังนี้</t>
  </si>
  <si>
    <t>ระบบประปาหมู่บ้าน แบบบาดาลขนาดกลาง</t>
  </si>
  <si>
    <t xml:space="preserve">เมตร </t>
  </si>
  <si>
    <t>โรงสูบน้ำแบบ ข</t>
  </si>
  <si>
    <t>การประสานระบบไฟฟ้า</t>
  </si>
  <si>
    <t>รวมเงิน</t>
  </si>
  <si>
    <t>คิดเป็นเงิน</t>
  </si>
  <si>
    <t>ค่างาน</t>
  </si>
  <si>
    <t>(ผลต่างค่างาน)</t>
  </si>
  <si>
    <t>(ผลต่างค่า F)</t>
  </si>
  <si>
    <r>
      <t>ระบบกรองน้ำบาดาลขนาด 10 ม.</t>
    </r>
    <r>
      <rPr>
        <vertAlign val="superscript"/>
        <sz val="14"/>
        <color indexed="8"/>
        <rFont val="CordiaUPC"/>
        <family val="2"/>
        <charset val="222"/>
      </rPr>
      <t>3</t>
    </r>
    <r>
      <rPr>
        <sz val="14"/>
        <color indexed="8"/>
        <rFont val="CordiaUPC"/>
        <family val="2"/>
        <charset val="222"/>
      </rPr>
      <t>/ชม.</t>
    </r>
  </si>
  <si>
    <r>
      <t>ถังน้ำใสขนาด 100 ม.</t>
    </r>
    <r>
      <rPr>
        <vertAlign val="superscript"/>
        <sz val="14"/>
        <color indexed="8"/>
        <rFont val="CordiaUPC"/>
        <family val="2"/>
        <charset val="222"/>
      </rPr>
      <t>3</t>
    </r>
    <r>
      <rPr>
        <sz val="14"/>
        <color indexed="8"/>
        <rFont val="CordiaUPC"/>
        <family val="2"/>
        <charset val="222"/>
      </rPr>
      <t xml:space="preserve"> </t>
    </r>
  </si>
  <si>
    <r>
      <t>หอถังสูงขนาด 30 ม.</t>
    </r>
    <r>
      <rPr>
        <vertAlign val="superscript"/>
        <sz val="14"/>
        <color indexed="8"/>
        <rFont val="CordiaUPC"/>
        <family val="2"/>
        <charset val="222"/>
      </rPr>
      <t>3</t>
    </r>
    <r>
      <rPr>
        <sz val="14"/>
        <color indexed="8"/>
        <rFont val="CordiaUPC"/>
        <family val="2"/>
        <charset val="222"/>
      </rPr>
      <t xml:space="preserve"> </t>
    </r>
  </si>
  <si>
    <t>เป็นเงิน</t>
  </si>
  <si>
    <t>ค่าวัสดุ (บาท) (1)</t>
  </si>
  <si>
    <t>ค่าขนส่ง (บาท)     (3)</t>
  </si>
  <si>
    <t>ข) กำหนดคืนเงินค่าใช้จ่ายในการตอกเสาเข็ม กรณีตอกเข็มที่มีความยาวน้อยกว่าที่กำหนดในแบบแปลน ดังรายการต่อไปนี้</t>
  </si>
  <si>
    <t>ค่าวัสดุ/เมตร    (บาท) (1)</t>
  </si>
  <si>
    <t>ค่าแรง/เมตร    (บาท) (2)</t>
  </si>
  <si>
    <t>ค่าขนส่ง/เมตร   (บาท) (3)</t>
  </si>
  <si>
    <t>ตอกเข็มยาว/ต้น (ม.)</t>
  </si>
  <si>
    <t>รวมความยาวเข็มที่ไม่ได้ตอก (ม.)</t>
  </si>
  <si>
    <t>หมายเหตุ           (ราคาต่อเมตร)</t>
  </si>
  <si>
    <t>ค) กำหนดคืนเงินค่าใช้จ่ายในการติดตั้งระบบไฟฟ้าภายนอก หากภายหลังการไฟฟ้าฯ แจ้งว่าไม่ต้องดำเนินการ ดังรายการต่อไปนี้</t>
  </si>
  <si>
    <t>ขยายเขตไฟฟ้าแรงต่ำ</t>
  </si>
  <si>
    <t>ขยายเขตไฟฟ้าแรงสูง</t>
  </si>
  <si>
    <t>ตัวหนังสือ</t>
  </si>
  <si>
    <t>ประมาณราคาค่าก่อสร้าง</t>
  </si>
  <si>
    <t>รายการฯ เฉพาะแห่ง</t>
  </si>
  <si>
    <t>ฝ่ายประมาณราคา</t>
  </si>
  <si>
    <t>ประมาณการโดย</t>
  </si>
  <si>
    <t>เมื่อวันที่</t>
  </si>
  <si>
    <t>จำนวนหน่วย</t>
  </si>
  <si>
    <t>ค่าวัสดุ</t>
  </si>
  <si>
    <t>ค่าแรง</t>
  </si>
  <si>
    <t>ค่าวัสดุและ</t>
  </si>
  <si>
    <t>ราคาต่อหน่วย</t>
  </si>
  <si>
    <t>คิดเป็นเงินค่างาน</t>
  </si>
  <si>
    <t>1. งานดิน</t>
  </si>
  <si>
    <t>2. งานแบบหล่อ</t>
  </si>
  <si>
    <t>3. งานคอนกรีต</t>
  </si>
  <si>
    <t>4. งานเหล็ก</t>
  </si>
  <si>
    <t>รวมยอดยกไป</t>
  </si>
  <si>
    <t>รวมยอดยกมา</t>
  </si>
  <si>
    <t>2.1</t>
  </si>
  <si>
    <t>2.2</t>
  </si>
  <si>
    <t>3.1</t>
  </si>
  <si>
    <t>รวมเงิน (1)</t>
  </si>
  <si>
    <t>รวมเงิน (2)</t>
  </si>
  <si>
    <t>ต้น</t>
  </si>
  <si>
    <t>-</t>
  </si>
  <si>
    <t>รวมเงิน (3)</t>
  </si>
  <si>
    <t>1.1</t>
  </si>
  <si>
    <t>1.2</t>
  </si>
  <si>
    <t>1.3</t>
  </si>
  <si>
    <t>1.4</t>
  </si>
  <si>
    <t>1.5</t>
  </si>
  <si>
    <t>2</t>
  </si>
  <si>
    <t>3</t>
  </si>
  <si>
    <t>4</t>
  </si>
  <si>
    <t>ก. ระบบไฟฟ้าภายนอก (การไฟฟ้าฯ ดำเนินการ)</t>
  </si>
  <si>
    <t>ขยายเขตแรงต่ำ</t>
  </si>
  <si>
    <t>[  ] ปักเสา คอร. ยาว.....ม. (8,9 ม.) จำนวน....ต้น ระยะทาง.....ม.</t>
  </si>
  <si>
    <t>[  ] พาดสาย..............ม.</t>
  </si>
  <si>
    <t>ขยายเขตแรงสูง (ภายนอก-ภายใน)</t>
  </si>
  <si>
    <t>[  ] ปักเสา คอร. ยาว....ม. (12,14 ม.) จำนวน....ต้น ระยะทาง.....ม.</t>
  </si>
  <si>
    <t>อยู่บนดิน สำหรับวัสดุที่เป็นโลหะให้ทาสีน้ำมัน ชนิดและวิธีการทาสี ตามที่ระบุไว้ในรายการรายละเอียด</t>
  </si>
  <si>
    <t>กม.ละ 1,000,000 บาท</t>
  </si>
  <si>
    <t>กม.ละ 400,000 บาท</t>
  </si>
  <si>
    <t>ไม้แบบหล่อคอนกรีตทั่วไป 80 % พร้อมไม้คร่าว</t>
  </si>
  <si>
    <t>ในการก่อสร้างระบบประปาที่มีผู้ควบคุมงานเป็นเจ้าหน้าที่ของรัฐ ให้ผู้รับจ้างส่งงานเพื่อขอเบิกเงิน</t>
  </si>
  <si>
    <t>ค่าจ้างแต่ละงวด ตามสัญญาจ้างผ่านผู้ควบคุมงานการก่อสร้าง</t>
  </si>
  <si>
    <t>ตรวจสอบค่าระดับต่างๆ เช่น ความลึกของหลุมฐานราก ชั้นงานอื่นๆ ของแต่ละโครงสร้าง ฯลฯ พร้อม</t>
  </si>
  <si>
    <t>ตรวจสอบความถูกต้องของพื้นที่ที่จะก่อสร้างกับขอบเขตของที่ดินว่าไม่คลาดเคลื่อนออกนอกขอบเขต</t>
  </si>
  <si>
    <t>ตามแบบเลขที่</t>
  </si>
  <si>
    <t>จัดส่งรายละเอียดและแคตตาล๊อก ตู้ควบคุมเครื่องสูบน้ำพร้อมอุปกรณ์ไฟฟ้าภายในทั้งหมด</t>
  </si>
  <si>
    <t>1.6</t>
  </si>
  <si>
    <t>1.2.14 กรณีค่างานลงทุนไม่เกิน</t>
  </si>
  <si>
    <t>1.3.14 กรณีค่างานลงทุนไม่เกิน</t>
  </si>
  <si>
    <t>หน้าที่  14</t>
  </si>
  <si>
    <t>หน้าที่  27</t>
  </si>
  <si>
    <t>1.2.15 กรณีค่างานลงทุนไม่เกิน</t>
  </si>
  <si>
    <t>ปรับเกลี่ยแต่งสภาพพื้นที่ภายในระบบประปา</t>
  </si>
  <si>
    <t>ดินถมระบบประปา</t>
  </si>
  <si>
    <t>1.งานดินถม</t>
  </si>
  <si>
    <t>ค่ารักษาความสะอาดและขนขยะระหว่างก่อสร้าง</t>
  </si>
  <si>
    <t>สถาปนิก</t>
  </si>
  <si>
    <t>อาคาร,ค่าสาธารณูปโถคและอื่นๆ</t>
  </si>
  <si>
    <t>ช่างควบคุมงาน(โฟร์แมน)</t>
  </si>
  <si>
    <t>ค่าก่อสร้างที่พักคนงาน,สำนักงาน,โรงงาน,โรงเก็บวัสดุ</t>
  </si>
  <si>
    <t>เสมียน</t>
  </si>
  <si>
    <t>ค่าสารธณูปโภค,น้ำ,ไฟ,สื่อสารชั่วคราว</t>
  </si>
  <si>
    <t>หัวหน้าช่าง</t>
  </si>
  <si>
    <t>ค่าอุปกรณ์ความปลอดภัย,หมวก,ถุงมือ,ถังดับเพลิงฯ</t>
  </si>
  <si>
    <t>คนคุมเครื่องจักร</t>
  </si>
  <si>
    <t>ค่าทำป้ายชื่องาน,ป้ายสัญญาณเตือนภัยต่างๆ ฯลฯ</t>
  </si>
  <si>
    <t>เจ้าหน้าที่ความปลอดภัย</t>
  </si>
  <si>
    <t>รวม คิดให้ 50 % โดยเฉลี่ยจากการทำงานหลายโครงการ</t>
  </si>
  <si>
    <t>1.2.2 กรณีค่างานลงทุนไม่เกิน</t>
  </si>
  <si>
    <t>1.3.2 กรณีค่างานลงทุนไม่เกิน</t>
  </si>
  <si>
    <t>หน้าที่  5</t>
  </si>
  <si>
    <t>หน้าที่  8</t>
  </si>
  <si>
    <t>หน้าที่  21</t>
  </si>
  <si>
    <t>หน้าที่  34</t>
  </si>
  <si>
    <t xml:space="preserve">            1.1.2  ค่าธรรมเนียมธนาคารหนังสือค้ำประกันผลงานก่อสร้าง</t>
  </si>
  <si>
    <t>1.2.3 กรณีค่างานลงทุนไม่เกิน</t>
  </si>
  <si>
    <t>1.3.3 กรณีค่างานลงทุนไม่เกิน</t>
  </si>
  <si>
    <t>รวมค่าใช้จ่ายตามข้อ 1.1 -1.4</t>
  </si>
  <si>
    <t>%  ของค่างาน</t>
  </si>
  <si>
    <t>ปี</t>
  </si>
  <si>
    <t>ค่างาน ( ทุน )</t>
  </si>
  <si>
    <t>รวมค่าใช้จ่ายข้อ 1.1</t>
  </si>
  <si>
    <t>รวมค่าใช้จ่ายข้อ 1.2</t>
  </si>
  <si>
    <t>รวมค่าใช้จ่ายข้อ 1.3</t>
  </si>
  <si>
    <t>รวมค่าใช้จ่ายข้อ 1.4</t>
  </si>
  <si>
    <t>รวมค่าใช้จ่ายทั้งหมด</t>
  </si>
  <si>
    <t>อัตราค่าธรรมเนียม</t>
  </si>
  <si>
    <t xml:space="preserve">         % ของค่างาน</t>
  </si>
  <si>
    <t xml:space="preserve">     1.1.3  ค่าอากรแสตมป์ติดสัญญา</t>
  </si>
  <si>
    <t>ค่าอากรแสตมป์</t>
  </si>
  <si>
    <t xml:space="preserve">            1.1.4  เงินสมทบกองทุนเงินทดแทน กองทุนประกันสังคม และค่าอากรแสตมป์ติดสัญญา</t>
  </si>
  <si>
    <t>1.1.4.1 เงินสมทบกองทุนเงินทดแทน</t>
  </si>
  <si>
    <t>% ของค่าแรงงาน</t>
  </si>
  <si>
    <t>ค่าแรงงาน</t>
  </si>
  <si>
    <t>เงินสมทบ</t>
  </si>
  <si>
    <t>0.51*0.30</t>
  </si>
  <si>
    <t>1.1.4.2 เงินสมทบกองทุนประกันสังคม</t>
  </si>
  <si>
    <t>0.35*0.30</t>
  </si>
  <si>
    <t>รวมค่าใช้จ่ายเงินสมทบกองทุนทดแทน และประกันสังคม</t>
  </si>
  <si>
    <t>1.2.4 กรณีค่างานลงทุนไม่เกิน</t>
  </si>
  <si>
    <t>1.3.4 กรณีค่างานลงทุนไม่เกิน</t>
  </si>
  <si>
    <t>หน้าที่  6</t>
  </si>
  <si>
    <t>หน้าที่  9</t>
  </si>
  <si>
    <t>หน้าที่  22</t>
  </si>
  <si>
    <t>รวมค่าใช้จ่ายตามข้อ 1.1</t>
  </si>
  <si>
    <t>1.2.5 กรณีค่างานลงทุนไม่เกิน</t>
  </si>
  <si>
    <t>1.3.5 กรณีค่างานลงทุนไม่เกิน</t>
  </si>
  <si>
    <t>ข้อ 1.1.1</t>
  </si>
  <si>
    <t>ข้อ 1.1.2</t>
  </si>
  <si>
    <t>ข้อ 1.1.3</t>
  </si>
  <si>
    <t>ข้อ 1.1.4</t>
  </si>
  <si>
    <t>ค้ำประกันสัญญา%</t>
  </si>
  <si>
    <t>ค้ำประกันผลงาน%</t>
  </si>
  <si>
    <t>ค่าอากร%</t>
  </si>
  <si>
    <t>กองทุนทดแทน+ประกันสังคม%</t>
  </si>
  <si>
    <t>1.2.6 กรณีค่างานลงทุนไม่เกิน</t>
  </si>
  <si>
    <t>1.3.6 กรณีค่างานลงทุนไม่เกิน</t>
  </si>
  <si>
    <t>มีอักษร STOP (ปิด)</t>
  </si>
  <si>
    <t>มีอักษร RUN (ทำงาน)</t>
  </si>
  <si>
    <t>มีอักษร OVERLOAD (ขัดข้อง)</t>
  </si>
  <si>
    <t>ระยะเวลา</t>
  </si>
  <si>
    <t>เดือน</t>
  </si>
  <si>
    <t>1.3.1 กรณีค่างานลงทุนไม่เกิน</t>
  </si>
  <si>
    <t xml:space="preserve">       1.1 ค่าใช้จ่ายขั้นตอนในการทำสัญญา (งานก่อสร้างอาคาร)</t>
  </si>
  <si>
    <t>ลำดับที่</t>
  </si>
  <si>
    <t>ประเภท</t>
  </si>
  <si>
    <t>หน่วย</t>
  </si>
  <si>
    <t>จำนวน</t>
  </si>
  <si>
    <t>อัตราเฉลี่ยค่าใช้จ่าย</t>
  </si>
  <si>
    <t>รวมคิดเป็นค่าใช้จ่าย</t>
  </si>
  <si>
    <t>อัตราค่าใช้จ่าย(เงินเดือน)</t>
  </si>
  <si>
    <t>รวมค่าใช้จ่าย(เงินเดือน)</t>
  </si>
  <si>
    <t>1.4.1 ค่าธรรมเนียมในการประกันภัยโครงการ</t>
  </si>
  <si>
    <t>% ของค่างาน</t>
  </si>
  <si>
    <t xml:space="preserve">         1.1.1 ค่าธรรมเนียมธนาคารหนังสือค้ำประกันสัญญา</t>
  </si>
  <si>
    <t>% /โครงการ</t>
  </si>
  <si>
    <t xml:space="preserve">และระดับที่สอง </t>
  </si>
  <si>
    <t>drawdown ให้ทำการทดสอบครั้งต่อไปจนค่าใกล้เคียงกัน</t>
  </si>
  <si>
    <t>ไม่สามารถลดลงไปที่ Allowable drawdown ได้ให้ทำการทดสอบโดยให้แบ่งการทดสอบ</t>
  </si>
  <si>
    <t xml:space="preserve">อื่น ให้ทำตามขั้นตอนเดิม </t>
  </si>
  <si>
    <t>เมตร และหากผลการทดสอบเหมือนกับตำแหน่งแรก ก็ให้ยุติการทดสอบ และถือว่าผล</t>
  </si>
  <si>
    <t>ให้ออกแบบฐานรากเป็นแบบไม่ตอกเสาเข็ม</t>
  </si>
  <si>
    <t>ทฤษฎีที่ใช้ในการทดสอบ</t>
  </si>
  <si>
    <t>รายละเอียดเครื่องมือที่ใช้ในการทดสอบ และรูปเครื่องมือ</t>
  </si>
  <si>
    <t>ในการก่อสร้างระบบประปาหมู่บ้านแห่งนี้ หากเอกสารรายการรายละเอียด รูปแบบ หรือ แบบแปลน</t>
  </si>
  <si>
    <t>งานทาง,งานสะพานและ/หรือท่อเหลี่ยม ให้แยกค่างานต้นทุนและใช้ Factor F ของงานทาง,งานสะพานและท่อเหลี่ยม</t>
  </si>
  <si>
    <t>ตาราง  Factor F นี้ใช้ได้กับค่าน้ำมันเชื้อเพลิงทุกราคา  แต่จะแปรเปลี่ยนตามอัตราดอกเบี้ยเงินกู้ธนาคารพาณิชย์และ</t>
  </si>
  <si>
    <t>อัตราการจ่ายเงินล่วงหน้า และอัตราการหักเงินประกันผลงาน และอัตราภาษีมูลค่าเพิ่ม</t>
  </si>
  <si>
    <t>อัตราดอกเบี้ยเงินกู้เป็นอัตราดอกเบี้ยขั้นต่ำในการกู้สำหรับลูกค้าชั้นดี (MLR)  และใช้อัตราของธนาคารกรุงไทย จำกัด</t>
  </si>
  <si>
    <t>(มหาชน) ฃึ่งสำนักงานปลัดสำนักนายกรัฐมนตรีจะเป็นผู้แจ้งเวียนให้ส่วนราชการทราบและนำไปใช้</t>
  </si>
  <si>
    <t>การคำนวณค่างานก่อสร้างอาคารในงานจ้างเหมาก่อสร้าง</t>
  </si>
  <si>
    <t>ในงานจ้างเหมาก่อสร้างอาคาร ค่างานจะคิดเป็นราคาต่อหน่วยของลักษณะงานต่างๆ  และค่างานทั้งโครงการได้จาก</t>
  </si>
  <si>
    <t>การคำนวณหาปริมาณงานแต่ละลักษณะงาน แล้วคูณด้วยค่างานต่อหน่วย เมื่อรวมค่างานแต่ละลัษณะงานเข้าด้วยกัน ก็จะ</t>
  </si>
  <si>
    <t>ได้ต้นทุนของค่างานทั้งโครงการ   แต่ในงานจ้างเหมาผู้รับจ้างต้องมีค่าใช้จ่าย ด้านอำนวยการทั้งในสำนักงานใหญ่  และสำนัก</t>
  </si>
  <si>
    <t>ประตูน้ำทองเหลือง dia 4" พร้อมบ่อครอบ</t>
  </si>
  <si>
    <t>ชุด</t>
  </si>
  <si>
    <t>ประตูน้ำทองเหลือง dia 3" พร้อมบ่อครอบ</t>
  </si>
  <si>
    <t>ประตูน้ำทองเหลือง dia 2" พร้อมบ่อครอบ</t>
  </si>
  <si>
    <t>เทปพันเกลียว</t>
  </si>
  <si>
    <t>ม้วน</t>
  </si>
  <si>
    <t>จำนวน………..</t>
  </si>
  <si>
    <t>ค่าก่อสร้าง (บาท)</t>
  </si>
  <si>
    <t>ประมาณราคาโดย</t>
  </si>
  <si>
    <t>แบบเลขที่.........</t>
  </si>
  <si>
    <t>ลบ.ม.</t>
  </si>
  <si>
    <t>กก.</t>
  </si>
  <si>
    <t xml:space="preserve">รายละเอียดเฉพาะแห่ง </t>
  </si>
  <si>
    <t>อุปกรณ์ประปา ได้แก่ น้ำยาเชื่อมท่อ,ข้องอ,ข้อโค้ง และอื่นๆ ที่จำเป็น</t>
  </si>
  <si>
    <t>1.3.15 กรณีค่างานลงทุนไม่เกิน</t>
  </si>
  <si>
    <t>1.2.16 กรณีค่างานลงทุนไม่เกิน</t>
  </si>
  <si>
    <t>1.3.16 กรณีค่างานลงทุนไม่เกิน</t>
  </si>
  <si>
    <t>หน้าที่  15</t>
  </si>
  <si>
    <t>หน้าที่  28</t>
  </si>
  <si>
    <t>1.2.17 กรณีค่างานลงทุนไม่เกิน</t>
  </si>
  <si>
    <t>1.3.17 กรณีค่างานลงทุนไม่เกิน</t>
  </si>
  <si>
    <t>1.2.18 กรณีค่างานลงทุนไม่เกิน</t>
  </si>
  <si>
    <t>1.3.18 กรณีค่างานลงทุนไม่เกิน</t>
  </si>
  <si>
    <t>หน้าที่  16</t>
  </si>
  <si>
    <t>หน้าที่  29</t>
  </si>
  <si>
    <t>1.2.19 กรณีค่างานลงทุนไม่เกิน</t>
  </si>
  <si>
    <t>1.3.19 กรณีค่างานลงทุนไม่เกิน</t>
  </si>
  <si>
    <t>1.2.20 กรณีค่างานลงทุนไม่เกิน</t>
  </si>
  <si>
    <t>1.3.20 กรณีค่างานลงทุนไม่เกิน</t>
  </si>
  <si>
    <t>หน้าที่  17</t>
  </si>
  <si>
    <t>หน้าที่  30</t>
  </si>
  <si>
    <t>1.2.21 กรณีค่างานลงทุนไม่เกิน</t>
  </si>
  <si>
    <t>1.3.21 กรณีค่างานลงทุนไม่เกิน</t>
  </si>
  <si>
    <t>1.2.22 กรณีค่างานลงทุนไม่เกิน</t>
  </si>
  <si>
    <t>1.3.22 กรณีค่างานลงทุนไม่เกิน</t>
  </si>
  <si>
    <t>หน้าที่  18</t>
  </si>
  <si>
    <t>หน้าที่  31</t>
  </si>
  <si>
    <t>1.2.23 กรณีค่างานลงทุนไม่เกิน</t>
  </si>
  <si>
    <t>1.3.23 กรณีค่างานลงทุนไม่เกิน</t>
  </si>
  <si>
    <t>1.2.24 กรณีค่างานลงทุนไม่เกิน</t>
  </si>
  <si>
    <t>1.3.24  กรณีค่างานลงทุนเกิน</t>
  </si>
  <si>
    <t>หน้าที่  19</t>
  </si>
  <si>
    <t>หน้าที่  32</t>
  </si>
  <si>
    <t>รวมค่าใช้จ่ายตามข้อ 1.2</t>
  </si>
  <si>
    <t>รวมค่าใช้จ่ายตามข้อ 1.3</t>
  </si>
  <si>
    <t>ค่างาน(ทุน)</t>
  </si>
  <si>
    <t>รวมค่าใช้จ่าย</t>
  </si>
  <si>
    <t>ค่าใช้จ่าย ข้อ 1-2</t>
  </si>
  <si>
    <t>คิดเป็น</t>
  </si>
  <si>
    <t>จุดเปลี่ยน</t>
  </si>
  <si>
    <t>คิดเป็นค่าเฉลี่ย</t>
  </si>
  <si>
    <t>ข้อ 1-2 เป็นเงิน</t>
  </si>
  <si>
    <t>ข้อ 1-2 ทั้งหมดเป็นเงิน</t>
  </si>
  <si>
    <t>คิดเป็นร้อยละของค่างาน</t>
  </si>
  <si>
    <t>ข้อ 1เป็นเงิน</t>
  </si>
  <si>
    <t>ข้อ 1ทั้งหมด</t>
  </si>
  <si>
    <t>ร้อยละ</t>
  </si>
  <si>
    <t>ค่างาน+1</t>
  </si>
  <si>
    <t>ร้อยละของค่างาน</t>
  </si>
  <si>
    <t>(บาท/เดือน)</t>
  </si>
  <si>
    <t>(บาท)</t>
  </si>
  <si>
    <t>(%)</t>
  </si>
  <si>
    <t>ของค่างาน</t>
  </si>
  <si>
    <t>หน้าที่  35</t>
  </si>
  <si>
    <t>2. ดอกเบี้ย</t>
  </si>
  <si>
    <t xml:space="preserve">  % ต่อปี</t>
  </si>
  <si>
    <t>เงินจ่ายล่วงหน้า</t>
  </si>
  <si>
    <t>ระยะเวลาการเบิกจ่าย</t>
  </si>
  <si>
    <t xml:space="preserve">  เดือน</t>
  </si>
  <si>
    <t>หักเงินประกันผลงาน</t>
  </si>
  <si>
    <t>สูตร</t>
  </si>
  <si>
    <t xml:space="preserve">  กว้าง</t>
  </si>
  <si>
    <t>ผู้รับจ้างจะต้องดำเนินการจัดหาวัสดุอุปกรณ์</t>
  </si>
  <si>
    <t>..........................................................….........................................……............…</t>
  </si>
  <si>
    <t xml:space="preserve">         (………………………………………………………………)</t>
  </si>
  <si>
    <t>ประมาณราคาโดย……………………………………………………………….</t>
  </si>
  <si>
    <t xml:space="preserve">                     ตรวจ…………………………………………..…..……………….</t>
  </si>
  <si>
    <t>(………………………………………………………………)</t>
  </si>
  <si>
    <t>………..…………………………………………...………….</t>
  </si>
  <si>
    <t>ประเภทงานไม่พิจารณาปรับราคา</t>
  </si>
  <si>
    <t>(……………………………………………………………………………)</t>
  </si>
  <si>
    <t>ม.</t>
  </si>
  <si>
    <t>อุปกรณ์ประปา ได้แก่ ประตูน้ำ,ข้องอ,ข้อโค้ง และอื่นๆ ที่จำเป็น</t>
  </si>
  <si>
    <t>ผู้รับจ้างต้องดำเนินการจัดหาท่อและอุปกรณ์</t>
  </si>
  <si>
    <t>ตร.ม.</t>
  </si>
  <si>
    <t>ขุดดินหลุมฐานราก/ถมคืน</t>
  </si>
  <si>
    <t>คอนกรีต 1 : 2 : 4 (ซีเมนต์ไม่น้อยกว่า 320 กก/ลบ.ม.)</t>
  </si>
  <si>
    <t>ทาสีน้ำมัน</t>
  </si>
  <si>
    <t>จัดส่งรายละเอียดและแคตตาล๊อก เครื่องมือตรวจวัดความเป็นกรด-ด่างในน้ำ และเครื่องมือตรวจ</t>
  </si>
  <si>
    <t>วัดสารละลายเหล็กในน้ำ</t>
  </si>
  <si>
    <t xml:space="preserve">ระบบสูบน้ำดิบ ติดตั้งเครื่องสูบน้ำดิบ ท่อส่งน้ำดิบ จากบ่อบาดาลไปยังหอถังสูง </t>
  </si>
  <si>
    <t>ตรวจสอบไม่ให้มีการรั่วซึมของสิ่งก่อสร้างในระบบประปาทั้งหมด เช่น หอถังสูง อุปกรณ์</t>
  </si>
  <si>
    <t>ประสานท่อ และท่อจ่ายน้ำประปา</t>
  </si>
  <si>
    <t xml:space="preserve">ทดสอบดินวิธี Boring Test (SPT.) </t>
  </si>
  <si>
    <t>การจัดจ้างก่อสร้างระบบประปาหมู่บ้าน แห่งนี้ จะใช้สัญญาแบบปรับราคาได้ โดยมีเงื่อนไข, หลักเกณฑ์</t>
  </si>
  <si>
    <t>ที่ความสูงส่งรวม (TDH)………</t>
  </si>
  <si>
    <t>ตาราง  Factor  F  งานก่อสร้างอาคาร</t>
  </si>
  <si>
    <t>เงินล่วงหน้าจ่าย</t>
  </si>
  <si>
    <t>%</t>
  </si>
  <si>
    <t>ดอกเบี้ยเงินกู้</t>
  </si>
  <si>
    <t>% ต่อปี</t>
  </si>
  <si>
    <t>เงินประกันผลงานหัก</t>
  </si>
  <si>
    <t>ค่าภาษีมูลค่าเพิ่ม(VAT)</t>
  </si>
  <si>
    <t>ค่าใช้จ่ายในการดำเนินงานก่อสร้าง</t>
  </si>
  <si>
    <t>Factor  F</t>
  </si>
  <si>
    <t>ค่างาน (ทุน)</t>
  </si>
  <si>
    <t>รวมในรูป</t>
  </si>
  <si>
    <t>ภาษีมูลค่าเพิ่ม</t>
  </si>
  <si>
    <t>ล้านบาท</t>
  </si>
  <si>
    <t>การรื้อถอน และเคลื่อนย้ายสิ่งกีดขวางการก่อสร้าง การขยายเขตไฟฟ้า  ตำแหน่งเสา การทดสอบการรับ</t>
  </si>
  <si>
    <t xml:space="preserve">น้ำหนักบรรทุกของดินและปัญหาอื่นๆ ที่ผู้รับจ้างได้สอบถามและผู้ชี้สถานที่ได้ชี้แจงในวันชี้สถานที่ </t>
  </si>
  <si>
    <t>ก่อสร้างขัดแย้งกันหรือไม่ชัดเจน ผู้ว่าจ้างขอสงวนสิทธิ์การพิจารณาวินิจฉัยให้ ผู้ออกแบบ จากสำนัก</t>
  </si>
  <si>
    <t>การก่อสร้างระบบประปาหมู่บ้าน ในกรณีที่ไม่สามารถกระทำตามแบบมาตรฐานได้ ต้องมีการแก้ไข</t>
  </si>
  <si>
    <t>เปลี่ยนแปลง ปรับปรุง ให้เหมาะสมกับพื้นที่นั้นๆ เพื่อให้งานก่อสร้างนั้นสำเร็จลุล่วง และเกิดผลดีแก่</t>
  </si>
  <si>
    <t>ทางราชการ  ให้ผู้รับจ้างปฏิบัติตามคำแนะนำของผู้ควบคุมงานการก่อสร้างอย่างเคร่งครัด   โดยผ่าน</t>
  </si>
  <si>
    <t>ความเห็นชอบของผู้ว่าจ้างหรือผู้แทน(คณะกรรมการตรวจการจ้าง) ในกรณีที่เป็นงานโครงสร้าง หาก</t>
  </si>
  <si>
    <t xml:space="preserve">สงสัยในคุณภาพวัสดุ หรือความมั่นคงแข็งแรงของสิ่งก่อสร้าง ให้ผู้รับจ้างตรวจสอบหรือทดสอบทันที </t>
  </si>
  <si>
    <t xml:space="preserve">ว่ามีคุณสมบัติที่จะทำงานได้ต่อไปหรือไม่ โดยมีวิศวกรที่ได้รับใบประกอบวิชาชีพวิศวกรรมควบคุม </t>
  </si>
  <si>
    <t>เป็นผู้พิจารณาชี้ขาดตามหลักวิชาช่าง โดยผู้รับจ้างจะคิดค่าใช้จ่ายเพิ่มเติมอีกมิได้</t>
  </si>
  <si>
    <t>ผู้รับจ้างจะต้องทำการทดสอบการทำงานของระบบประปา ตั้งแต่เครื่องสูบน้ำดิบถึงท่อจ่ายน้ำไกลสุด</t>
  </si>
  <si>
    <t>ผู้รับจ้างต้องจัดทำแบบแปลนแสดงการก่อสร้างจริง  Asbuilt Drawing  (กรณีมีการแก้ไข)   ของงาน</t>
  </si>
  <si>
    <t>จากผู้ควบคุมงานการก่อสร้าง หรือคณะกรรมการตรวจการจ้าง ให้ผู้ว่าจ้างทราบก่อนส่งมอบงานงวด</t>
  </si>
  <si>
    <t>ผู้รับจ้างจะต้องจัดทำและติดตั้งแผ่นป้ายแสดงรายละเอียดเกี่ยวกับงานก่อสร้าง ไว้ ณ บริเวณ</t>
  </si>
  <si>
    <t>สถานที่ก่อสร้างโดยมีรายละเอียดดังต่อไปนี้ ( ตัวอย่าง )</t>
  </si>
  <si>
    <t>คิดเป็นเงินทั้งสิ้น (1+2+3+4+5)</t>
  </si>
  <si>
    <t>รวมเงิน (2+3+4+5)</t>
  </si>
  <si>
    <t>รวมเงิน (1+2+3+4+5)</t>
  </si>
  <si>
    <t>เมตร</t>
  </si>
  <si>
    <t>หน้าที่ 1/12</t>
  </si>
  <si>
    <t>เมตร ดำเนินการดังนี้</t>
  </si>
  <si>
    <t xml:space="preserve">เท้า, ถนน, ห้วยหนอง, คลอง, บึง, สะพาน และจุดที่โผล่พ้นดิน โดยวางในแนวหลังเสาไฟฟ้า </t>
  </si>
  <si>
    <t xml:space="preserve">ส่วนราชการ     </t>
  </si>
  <si>
    <t>หน้าจานเกลียวเหล็กหล่อ dia 3"</t>
  </si>
  <si>
    <t>ทำเกลียว</t>
  </si>
  <si>
    <t>แล้วแต่ยังไม่ได้ปริมาณน้ำ หรือคุณภาพน้ำตามที่กำหนด แล้วย้ายไปเจาะบ่อบาดาลแห่งใหม่ แล้วได้</t>
  </si>
  <si>
    <t>ปริมาณน้ำ และคุณภาพน้ำตามที่กำหนด ให้ผู้ควบคุมงานคิดราคาเพิ่ม-ลด ในงานเจาะบ่อบาดาลทุกจุด</t>
  </si>
  <si>
    <t>เพื่อคืนเงินในส่วนที่ลด และเพิ่มเงินในส่วนที่ขาด โดยการปรับลดเนื่องานอื่นลดลง โดยไม่ทำให้ระบบ</t>
  </si>
  <si>
    <t>เสียหาย หรือแหล่งอื่นๆ ทั้งนี้ไม่รวมถึงความบกพร่องในการทำงานของผู้รับจ้าง หรือเครื่องมือไม่ได้</t>
  </si>
  <si>
    <t>มาตรฐาน หรือผู้ดำเนินการเจาะไม่มีคุณภาพ หรือความประมาท เลินเล่อ พร้อมกันนี้ผู้ควบคุมงานต้อง</t>
  </si>
  <si>
    <t>ดำเนินการแก้ไขแบบมาตรฐานการก่อสร้างระบบประปาในส่วนที่เปลี่ยนแปลงทั้งหมด ตามแบบเลขที่</t>
  </si>
  <si>
    <t>ตามที่ต้องการ ให้ผู้รับจ้าง และผู้ควบคุมงาน พิจารณากำหนดปริมาณน้ำที่น้อยกว่า ที่พอสามารถใช้ทำ</t>
  </si>
  <si>
    <t>ที่ต้องการ ให้ผู้รับจ้าง คณะกรรมการตรวจการจ้างและผู้ควบคุมงาน พิจารณาเปลี่ยนแปลงรูปแบบระบบ</t>
  </si>
  <si>
    <t>และประมาณราคาค่าก่อสร้างอีกครั้งหนึ่ง ในการดำเนินการดังกล่าวผู้รับจ้างสามารถขอขยายเวลาการ</t>
  </si>
  <si>
    <t xml:space="preserve">แบบมาตรฐานได้ ให้ขึ้นอยู่ในดุลยพินิจของคณะกรรมการตรวจการจ้าง และผู้ควบคุมงานเป็นสำคัญ </t>
  </si>
  <si>
    <t xml:space="preserve">เคลื่อนโดยเครื่องยนต์ (Turbine pump powered by engine) เลือกขนาดเครื่องสูบน้ำใน </t>
  </si>
  <si>
    <t>การทดสอบ โดยใช้ข้อมูลข้างเคียง</t>
  </si>
  <si>
    <t>ระยะและตำแหน่งตามแบบการประสานท่อระหว่างระบบเลขที่</t>
  </si>
  <si>
    <t>(Blow count) และสำเนารับรองใบประกอบวิชาชีพวิศวกรรมควบคุมของผู้ทดสอบและ</t>
  </si>
  <si>
    <t>รับรองผล</t>
  </si>
  <si>
    <t>รูปถ่ายภาพสี ที่ถ่ายในขณะทำการทดสอบ ณ จุดทดสอบบริเวณก่อสร้างหอถังสูง</t>
  </si>
  <si>
    <t>เอกสารอ้างอิง</t>
  </si>
  <si>
    <t>สัญญาเลขที่......................................................ลงวันที่....................................................</t>
  </si>
  <si>
    <t>เริ่มสัญญาวันที่..................................................สิ้นสุดสัญญาวันที่....................................</t>
  </si>
  <si>
    <t>รวมระยะเวลาก่อสร้าง  : ........................วัน       ค่าก่อสร้างทั้งสิ้น...............................บาท</t>
  </si>
  <si>
    <t>ผู้รับจ้าง : (หจก./บริษัท)........................ที่อยู่..................................................โทร.....................</t>
  </si>
  <si>
    <t>ผู้ควบคุมงาน : (ผู้ว่าจ้าง)....................................ตำแหน่ง................................โทร....................</t>
  </si>
  <si>
    <t>ผู้ควบคุมงาน : (ผู้รับจ้าง)....................................ตำแหน่ง................................โทร....................</t>
  </si>
  <si>
    <t xml:space="preserve">                                         ก่อสร้างด้วยเงินภาษีอากรของประชาชน</t>
  </si>
  <si>
    <t>พร้อมด้วย</t>
  </si>
  <si>
    <t>เลขที่...........</t>
  </si>
  <si>
    <t>เสนอ</t>
  </si>
  <si>
    <t>กรณีดำเนินการดังกล่าวแล้วหาข้อยุติไม่ได้ ผู้ว่าจ้างขอสงวนสิทธิ์เป็นผู้ชี้ขาดและเป็นผู้พิจารณาให้เป็นไปตาม</t>
  </si>
  <si>
    <t>หลักวิชาช่าง โดยผู้รับจ้างต้องแจ้งให้ผู้ว่าจ้างทราบเป็นลายลักษณ์อักษรถึงการที่ไม่สามารถทำงานนั้นๆ ได้โดย</t>
  </si>
  <si>
    <t>โดยมีข้อมูลใบรายงานบันทึกการเจาะสำรวจชั้นดินในสนาม,กราฟแสดงผลการทดสอบ,</t>
  </si>
  <si>
    <t>สูตรการคำนวณ, เนื้อหาอ้างอิง, ตัวอย่างการคำนวณ, สรุปผลการเจาะสำรวจชั้นดิน, ผล</t>
  </si>
  <si>
    <t>ตัว</t>
  </si>
  <si>
    <t>ไขควงลองไฟ</t>
  </si>
  <si>
    <t>อัน</t>
  </si>
  <si>
    <t>ข้อกำหนดในการก่อสร้างระบบประปาหมู่บ้าน แบบบาดาลขนาดกลาง</t>
  </si>
  <si>
    <t>โครงการ : ก่อสร้างระบบประปาหมู่บ้าน แบบบาดาลขนาดกลาง</t>
  </si>
  <si>
    <t>สรุปรายการก่อสร้างและแบบแปลนที่ใช้ในการก่อสร้างระบบประปาหมู่บ้าน แบบบาดาลขนาดกลาง</t>
  </si>
  <si>
    <t>มาตรวัดน้ำ (ใบพัด 2 ชั้น) dia 3"</t>
  </si>
  <si>
    <t>ขุดดิน</t>
  </si>
  <si>
    <t>ท่อเหล็กอาบสังกะสี+ข้อต่อยาว6ม. dia 3"</t>
  </si>
  <si>
    <t>ประเก็นยาง dia 3"</t>
  </si>
  <si>
    <t>ก) กำหนดคืนเงินค่าใช้จ่ายในการตอกเสาเข็ม กรณีผลการทดสอบดินปรากฎว่าไม่ตอกเข็ม ดังรายการต่อไปนี้</t>
  </si>
  <si>
    <t>ค่าก่อสร้าง  (บาท)</t>
  </si>
  <si>
    <t>หมายเหตุ   (ราคาต่อเมตร)</t>
  </si>
  <si>
    <t>1. การเดินท่อส่งน้ำดิบจากปากบ่อบาดาลไปยังที่ตั้งระบบประปา</t>
  </si>
  <si>
    <t>เครื่องมือประจำการประปา</t>
  </si>
  <si>
    <t>บาท/เดือน</t>
  </si>
  <si>
    <t>บาท/หน่วย</t>
  </si>
  <si>
    <t>1.4.2 ค่าความเสี่ยงภัยที่ไม่ครอบคลุมอยู่ในการประกันภัย และค่าความเสี่ยงจาก</t>
  </si>
  <si>
    <t xml:space="preserve">    วงเงินค้ำประกัน</t>
  </si>
  <si>
    <t xml:space="preserve">  % ของค่างาน</t>
  </si>
  <si>
    <t>อัตราค่าธรรมเนียมหนังสือค้ำ</t>
  </si>
  <si>
    <t xml:space="preserve">  %  ของวงเงินค้ำประกัน   </t>
  </si>
  <si>
    <t>ค่าเอกสารสิ่งพิมพ์และด้านธุรการ</t>
  </si>
  <si>
    <t>บุคคลากร</t>
  </si>
  <si>
    <t xml:space="preserve"> </t>
  </si>
  <si>
    <t xml:space="preserve">          การผันแปรของอัตราแลกเปลี่ยนเงินตราและอัตราเงินเฟ้อ</t>
  </si>
  <si>
    <t>ค่างานลงทุน</t>
  </si>
  <si>
    <t>วงเงินค้ำประกัน</t>
  </si>
  <si>
    <t>ค่าธรรมเนียม</t>
  </si>
  <si>
    <t>ค่าธรรมเนียมเป็นร้อยละของค่างาน</t>
  </si>
  <si>
    <t>งาน</t>
  </si>
  <si>
    <t>ผู้จัดการ</t>
  </si>
  <si>
    <t>คน</t>
  </si>
  <si>
    <t>รวมค่าใช้จ่ายในการประกันภัยโครงการ</t>
  </si>
  <si>
    <t>บาท</t>
  </si>
  <si>
    <t>ค่าใช้จ่ายในการส่งตัวอย่างวัสดุทดสอบ,หนังสือรับรอง</t>
  </si>
  <si>
    <t>วิศวกรโครงการ</t>
  </si>
  <si>
    <t>ค่าใช้จ่ายการจัดเตรียมเอกสารต่างๆ ระหว่างก่อสร้าง</t>
  </si>
  <si>
    <t>วิศวกร</t>
  </si>
  <si>
    <t>I    =   i/12*[r/100+(T+(D-1)*a/100-(a+r)/100*(T+1)/2-(D-1)]</t>
  </si>
  <si>
    <t>เงินจ่าย</t>
  </si>
  <si>
    <t>หักเงินประกัน</t>
  </si>
  <si>
    <t>อัตรา</t>
  </si>
  <si>
    <t>จำนวนดอกเบี้ยต่อ</t>
  </si>
  <si>
    <t>หมายเหตุ</t>
  </si>
  <si>
    <t>ล่วงหน้า</t>
  </si>
  <si>
    <t>ผลงาน</t>
  </si>
  <si>
    <t xml:space="preserve"> เมื่อ</t>
  </si>
  <si>
    <t>I  =</t>
  </si>
  <si>
    <t>ค่าก่อสร้าง</t>
  </si>
  <si>
    <t>จ.ชุมพร</t>
  </si>
  <si>
    <t>จ.สุราษฎร์ธานี</t>
  </si>
  <si>
    <t>สำนักงานทรัพยากรน้ำภาค ๑๐</t>
  </si>
  <si>
    <t>ค่าวัสดุ/เมตร (บาท) (๑)</t>
  </si>
  <si>
    <t>ค่าแรง/เมตร (บาท) (๒)</t>
  </si>
  <si>
    <t>รวม (บาท) (๑)+(๒)+(๓)</t>
  </si>
  <si>
    <t>ค่าวัสดุ (บาท) (๑)</t>
  </si>
  <si>
    <t>ค่าแรง (บาท)     (๒)</t>
  </si>
  <si>
    <t>๑. รายการวันชี้สถานที่ก่อสร้าง</t>
  </si>
  <si>
    <t>๒. รายการรายละเอียดเฉพาะแห่ง</t>
  </si>
  <si>
    <t>๓. รูปแบบหรือแบบแปลน</t>
  </si>
  <si>
    <t>๔. รายการรายละเอียดทั่วไปประกอบแบบแปลน</t>
  </si>
  <si>
    <t>๕. เอกสารประกอบแบบแปลนการก่อสร้าง</t>
  </si>
  <si>
    <t xml:space="preserve">ท่อจ่ายน้ำ ระบบไฟฟ้า บ่อบาดาล ระดับอ้างอิงในการก่อสร้าง + ๐.๐๐๐ การถมดินหรือการปรับพื้นที่ </t>
  </si>
  <si>
    <t>ต้องทำหนังสือแจ้งขอเข้าทำงานแก่ทางคณะกรรมการตรวจการจ้างก่อนไม่น้อยกว่า ๗ วัน กรณีพื้นที่</t>
  </si>
  <si>
    <t>ทำการแบ่งจุดศูนย์กลางและตำแหน่งของโครงสร้างหลักไว้ แล้วถ่ายระดับอ้างอิง + ๐.๐๐๐ เข้าพื้นที่</t>
  </si>
  <si>
    <t xml:space="preserve">งานทรัพยากรน้ำภาค ๑๐  เป็นผู้ชี้ขาดตามหลักวิชาช่าง โดยผู้รับจ้างจะคิดค่าใช้จ่ายเพิ่มเติมอีกมิได้  </t>
  </si>
  <si>
    <t xml:space="preserve">สาขาวิศวกรรมโยธา ประเภทสามัญวิศวกร จากสภาวิศวกรตามพระราชบัญญัติวิศวกร พ.ศ. ๒๕๔๒ </t>
  </si>
  <si>
    <t>เป็นผู้ตรวจสอบ และรับรองผล หากยังหาข้อยุติมิได้ ผู้ออกแบบจากสำนักงานทรัพยากรน้ำภาค ๑๐</t>
  </si>
  <si>
    <t>ขนาด ๗ ลบ.ม. โดยดูการประสานท่อ ชนิดท่อ รอยรั่ว ปริมาณน้ำออก และอื่นๆ</t>
  </si>
  <si>
    <t xml:space="preserve">ผู้รับจ้างจะต้องจัดหาผู้ควบคุมงาน (ปวส.) จำนวน ๑ คน  เสมียน (ปวช.) จำนวน ๑ คน  ช่างฝีมือ </t>
  </si>
  <si>
    <t xml:space="preserve">๑.๒๐ ม. </t>
  </si>
  <si>
    <t>ที่ระบุในสัญญาจ้างและส่งต้นฉบับพร้อมสำเนาจำนวน ๕ ชุด โดยต้องผ่านการตรวจสอบความถูกต้อง</t>
  </si>
  <si>
    <t>๒.๔๐ ม.</t>
  </si>
  <si>
    <t>(๑-๕)</t>
  </si>
  <si>
    <t>(๑-๔)</t>
  </si>
  <si>
    <t xml:space="preserve"> ๑. แบบเลขที่</t>
  </si>
  <si>
    <t xml:space="preserve"> ๔. แบบเลขที่</t>
  </si>
  <si>
    <t xml:space="preserve"> ๒. แบบเลขที่</t>
  </si>
  <si>
    <t xml:space="preserve"> ๕. แบบเลขที่</t>
  </si>
  <si>
    <t>๓. แบบเลขที่</t>
  </si>
  <si>
    <t>๖. แบบเลขที่</t>
  </si>
  <si>
    <t>(๑-๓)</t>
  </si>
  <si>
    <t>๑.รายการรายละเอียดเฉพาะแห่งประกอบแบบแปลนการก่อสร้างระบบประปา จำนวน ๑ เล่ม</t>
  </si>
  <si>
    <t>๒. รายการรายละเอียดทั่วไปประกอบแบบแปลนการก่อสร้างระบบประปา จำนวน ๑ เล่ม</t>
  </si>
  <si>
    <t xml:space="preserve">จำนวน ๑ บ่อ  โดยดำเนินการดังนี้ </t>
  </si>
  <si>
    <t>๓.๑.๒ ทำการเจาะบ่อบาดาลโดยใช้เครื่องเจาะแบบมาตรฐานสากลพร้อมอุปกรณ์ที่เหมาะสมกับงานเจาะ</t>
  </si>
  <si>
    <t xml:space="preserve">๓.๑.๓ เมื่อได้น้ำที่มีคุณภาพและปริมาณตามข้อที่ ๒ แล้ว ให้ลงท่อตกตะกอน ท่อเซาะร่องกรองน้ำ และ </t>
  </si>
  <si>
    <t>แล้วทำการอุดด้วยดินเหนียวแห้ง หรืออิฐดิบทุบละเอียดขึ้นมาจนก่อนถึงปากบ่อ ๑.๐๐ เมตร</t>
  </si>
  <si>
    <t>ชื่อโครงการ............................</t>
  </si>
  <si>
    <t>สรุปค่าก่อสร้างอาคาร</t>
  </si>
  <si>
    <t>หน่วย : บาท</t>
  </si>
  <si>
    <t>ลงชื่อ........................................ผู้ประมาณราคา</t>
  </si>
  <si>
    <t>[ ] ติดตั้งหม้อแปลง 1 เฟส ขนาด....30.…KVA</t>
  </si>
  <si>
    <t>[ ] ปักเสา คอร. ยาว…12.00...ม. (12, 14 ม.)</t>
  </si>
  <si>
    <t>รวมเป็นระยะทางทั้งหมด.............ม.</t>
  </si>
  <si>
    <t>ท่อ PVC. ร้อยสายไฟ(สีเหลือง) dia 3/4"</t>
  </si>
  <si>
    <t xml:space="preserve">ท่อเหล็กอาบสังกะสี+ข้อต่อ ยาว6 ม. Dia 3" </t>
  </si>
  <si>
    <t xml:space="preserve">ท่อเหล็กอาบสังกะสี+ข้อต่อ ยาว6 ม. Dia 2" </t>
  </si>
  <si>
    <t>รายการค่าประมาณการก่อสร้างอาคาร</t>
  </si>
  <si>
    <t>รวม (บาท) (๑)+(๒)</t>
  </si>
  <si>
    <t xml:space="preserve">ป้ายการประปา   </t>
  </si>
  <si>
    <t xml:space="preserve">การประสานท่อระหว่างระบบ </t>
  </si>
  <si>
    <t xml:space="preserve">การประสานท่อที่ปากบ่อบาดาล  </t>
  </si>
  <si>
    <t xml:space="preserve">งานดิน  </t>
  </si>
  <si>
    <t>งานก่อสร้าง............................................</t>
  </si>
  <si>
    <t xml:space="preserve">ระบบท่อจ่ายน้ำประปา  </t>
  </si>
  <si>
    <t xml:space="preserve">ระบบท่อส่งน้ำดิบ  </t>
  </si>
  <si>
    <t xml:space="preserve">การประสานระบบไฟฟ้าภายใน </t>
  </si>
  <si>
    <t xml:space="preserve">ทดสอบความสามารถในการรับน้ำหนักบรรทุกของดิน  </t>
  </si>
  <si>
    <t>ตู้เหล็กบานเปิดคู่พร้อมขาตั้ง ขนาด 45 x 90 x</t>
  </si>
  <si>
    <t xml:space="preserve">โลหะไม่เป็นสนิม ชนิดมีสปริงรั้งกลับ </t>
  </si>
  <si>
    <t xml:space="preserve">เลื่อนทึบ ขนาด 46.5" x 16" x 34.5" </t>
  </si>
  <si>
    <t>คลิ๊ปแอมป์ วัดกระแสได้ไม่น้อยกว่า 600 แอมป์</t>
  </si>
  <si>
    <t xml:space="preserve">ปรับช่วงการวัดกระแสได้ไม่น้อยกว่า 5 ช่วง </t>
  </si>
  <si>
    <t xml:space="preserve">ไฟฟ้า - แรงดันไฟฟ้าได้ไม่น้อยกว่า 600 โวลท์ </t>
  </si>
  <si>
    <t>(Range) หรือดิจิตอล วัดความต้านทานกระแส</t>
  </si>
  <si>
    <t>หรือเทียบเท่า</t>
  </si>
  <si>
    <t xml:space="preserve">คีมล๊อกขนาด 10" ของไวส์กริป(vise clip) </t>
  </si>
  <si>
    <t xml:space="preserve">เครื่องสูบน้ำบาดาลแบบ submersible </t>
  </si>
  <si>
    <t>ตู้ควบคุมเครื่องสูบน้ำบาดาล แบบ 2 ชั้น</t>
  </si>
  <si>
    <t xml:space="preserve">อุปกรณ์อื่นๆ ประสานระบบ        </t>
  </si>
  <si>
    <t>ดินเหนียวแห้งหรืออิฐดิบ ทุบละเอียดขนาดเล็กกว่า 1 ซม.</t>
  </si>
  <si>
    <t>มอก.</t>
  </si>
  <si>
    <t xml:space="preserve">ตัวอักษร สติกเกอร์ </t>
  </si>
  <si>
    <t>ค่างานต้นทุน</t>
  </si>
  <si>
    <t xml:space="preserve"> (บาท)</t>
  </si>
  <si>
    <t xml:space="preserve">๒.๔ การประสานระบบไฟฟ้าภายนอก จำนวน ๑ ระบบ </t>
  </si>
  <si>
    <t>ประเภทงานครุภัณฑ์จัดซื้อหรือสั่งซื้อ</t>
  </si>
  <si>
    <t>ค่าก่อสร้างรวม</t>
  </si>
  <si>
    <t>Factor F</t>
  </si>
  <si>
    <t>สรุปค่าครุภัณฑ์จัดซื้อหรือสั่งซื้อ</t>
  </si>
  <si>
    <t xml:space="preserve">แบบ ปร.๕ (ข) แผ่นที่ ๒/๓  </t>
  </si>
  <si>
    <t>เงื่อนไขการใช้ตาราง FACTOR  F</t>
  </si>
  <si>
    <t>มูลค่าเพิ่ม</t>
  </si>
  <si>
    <t>รวมค่าก่อสร้าง</t>
  </si>
  <si>
    <t xml:space="preserve">แบบ ปร.๕ (พ) แผ่นที่ ๓/๓  </t>
  </si>
  <si>
    <t>สรุปราคากลางค่าก่อสร้าง</t>
  </si>
  <si>
    <t>รวมเป็นเงิน</t>
  </si>
  <si>
    <t>รวมค่าก่อสร้างทั้งโครงการ</t>
  </si>
  <si>
    <t>ราคากลาง</t>
  </si>
  <si>
    <t xml:space="preserve"> -  สุดท้าย  -  </t>
  </si>
  <si>
    <t>๓.๑.๔ ทำการพัฒนาบ่อเพื่อล้างตะกอนขุ่นข้น หรือตะกอนทราย เพื่อให้ได้น้ำใสสะอาด จะต้องใช้ Air</t>
  </si>
  <si>
    <t>๓.๑.๕ ทำการซีลคอบ่อด้วยคอนกรีต ๑ : ๒ : ๔ จนถึงปากบ่อบาดาล  แล้วเทชานบ่อบาดาลด้วยคอนกรีต</t>
  </si>
  <si>
    <t>ผิวหน้าให้เรียบร้อย โดยให้บ่อบาดาลเป็นจุดศูนย์กลาง</t>
  </si>
  <si>
    <t>เสริมเหล็ก ขนาด ๒.๐๐ x ๒.๐๐ x ๐.๑๐ ม. เสริมเหล็กเส้นกลม dia ๖ มม. @ ๐.๒๐ ม. พร้อมขัดหยาบ</t>
  </si>
  <si>
    <t>๓.๑.๖ ทำการทดสอบปริมาณน้ำ และวิเคราะห์คุณภาพน้ำดิบจากบ่อบาดาล โดยได้ปริมาณน้ำไม่น้อยกว่า</t>
  </si>
  <si>
    <t>๑. ในกรณีที่ผู้รับจ้างดำเนินการเจาะบ่อบาดาลจนถึงระดับที่กำหนดแล้ว แต่ยังไม่ได้ปริมาณน้ำ หรือ</t>
  </si>
  <si>
    <t>๒. ในกรณีที่ผู้รับจ้างดำเนินการเจาะบ่อบาดาลยังไม่ถึงระดับที่กำหนด แต่ได้ปริมาณน้ำและคุณภาพน้ำ</t>
  </si>
  <si>
    <t>ผู้รับจ้างจะต้องคืนเงินในส่วนที่เหลือตามประมาณการของสำนักงานทรัพยากรน้ำภาค ๑๐</t>
  </si>
  <si>
    <t>๓. ในกรณีที่ผู้รับจ้างดำเนินการเจาะบ่อบาดาลบ่อแรกจนถึงระดับที่กำหนด หรือมากกว่าระดับที่กำหนด</t>
  </si>
  <si>
    <t xml:space="preserve">๔. ในกรณีที่ผู้รับจ้างดำเนินการเจาะบ่อบาดาลหลายจุดแล้วแต่ไม่สามารถได้ปริมาณน้ำหรือคุณภาพน้ำ </t>
  </si>
  <si>
    <t>ระบบประปาหมู่บ้านได้ (๔-๗ ลบ.ม./ชม.) แล้วดำเนินการปรับลดเนื้องานลง ในการดำเนินการดังกล่าว</t>
  </si>
  <si>
    <t xml:space="preserve">ผู้รับจ้างสามารถขอขยายเวลาการก่อสร้างได้ตามจำนวนวันที่เจาะบ่อบาดาลจริง แต่ไม่เกิน ๙๐ วัน </t>
  </si>
  <si>
    <t xml:space="preserve">๕. ในกรณีที่ผู้รับจ้างดำเนินการเจาะบ่อบาดาลหลายจุดแล้วแต่ไม่สามารถได้ปริมาณน้ำหรือคุณภาพน้ำ </t>
  </si>
  <si>
    <t>และขอความอนุเคราะห์เจ้าหน้าที่จากสำนักงานทรัพยากรน้ำภาค ๑๐       ดำเนินการสำรวจ - ออกแบบ</t>
  </si>
  <si>
    <t xml:space="preserve">ก่อสร้างออกไปได้ไม่มากกว่า ๙๐ วัน </t>
  </si>
  <si>
    <t>๖. การดำเนินการดังกล่าวในกรณีที่มีปัญหา ไม่สามารถดำเนินการไปตามรายละเอียดเฉพาะแห่ง และ</t>
  </si>
  <si>
    <t>ทดสอบการรับน้ำหนักบรรทุกของดิน จำนวน ๑ จุด</t>
  </si>
  <si>
    <t>พร้อมทั้งรายงานผลการทดสอบตามเอกสารแนบท้ายนี้ โดยมีขั้นตอนการดำเนินการ ดังนี้</t>
  </si>
  <si>
    <t xml:space="preserve">๓.๓.๑ ผู้รับจ้างจะต้องดำเนินการทดสอบปริมาณน้ำโดยวิธี Step Drawdown Test  มีวิธีการทดสอบ </t>
  </si>
  <si>
    <t xml:space="preserve">๓.๓.๑.๑ ใช้เครื่องสูบน้ำสำหรับบ่อบาดาลซึ่งขับเคลื่อนด้วยไฟฟ้า (Submersible Pump) หรือ ขับ </t>
  </si>
  <si>
    <t>๓.๓.๑.๒ การติดตั้งเครื่องสูบน้ำ</t>
  </si>
  <si>
    <t xml:space="preserve">๑. ในกรณีบ่อบาดาลมีความลึกน้อยกว่า ๑๕๐ ฟุต ให้ติดตั้งเครื่องสูบน้ำโดยให้หัวดูดอยู่ </t>
  </si>
  <si>
    <t>เหนือท่อเซาะร่องกรองน้ำ ๑๐ ฟุต</t>
  </si>
  <si>
    <t xml:space="preserve">๒. ในกรณีบ่อบาดาลมีความลึกมากกว่า ๑๕๐ ฟุต ให้ติดตั้งเครื่องสูบน้ำโดยให้หัวดูดอยู่ที่ </t>
  </si>
  <si>
    <t xml:space="preserve">ระดับความลึก ๒ ใน ๓ ของระยะระดับน้ำคงที่ถึงปากท่อกรองน้ำ (Allowable drawdown)  </t>
  </si>
  <si>
    <t>๓.๓.๑.๒ การหาปริมาณน้ำอย่างหยาบๆ เทียบกับระยะน้ำลด (Drawdown) โดยการสูบปรับปริมาณ</t>
  </si>
  <si>
    <t xml:space="preserve">เวลาหนึ่ง (ไม่ต่ำกว่า ๓ ชั่วโมง) โดยวิธีการวัดโดยการใช้โอริฟิส (Orifice Method) แล้ว </t>
  </si>
  <si>
    <t>๓.๓.๒.๒ ผู้รับจ้างจะต้องทำการวิเคราะห์คุณภาพน้ำจากบ่อบาดาล เพื่อใช้ในการผลิตน้ำประปา ด้วย</t>
  </si>
  <si>
    <t>๓.๓.๑.๓ หาค่าปริมาณน้ำจำเพาะ (Specific Capacity) จากข้อมูลที่ได้ในข้อที่ ค.</t>
  </si>
  <si>
    <t xml:space="preserve">๓.๓.๑.๔ ปรับระดับสูบน้ำ (Pumping Level) ให้อยู่ประมาณ ๑ ใน ๓ ของระยะน้ำลดมากที่สุด </t>
  </si>
  <si>
    <t>๓.๓.๑.๕ จากค่าปริมาณน้ำที่ต้องสูบที่ระดับแรก ทำการสูบน้ำและวัดค่าระยะน้ำลด (Drawdown)</t>
  </si>
  <si>
    <t>จนค่าระยะน้ำลดไม่เปลี่ยนแปลง (ไม่ต่ำกว่า ๘ ชั่วโมง)</t>
  </si>
  <si>
    <t>๓.๓.๑.๖ หาค่าปริมาณน้ำจำเพาะ (Specific Capacity) ของระดับที่สอง</t>
  </si>
  <si>
    <t>๓.๓.๑.๗ ปรับระดับสูบน้ำ (Pumping Level) ให้อยู่ประมาณ ๒ ใน ๓ ของ (Allowable drawdown)</t>
  </si>
  <si>
    <t>๓.๓.๑.๘ หาค่าปริมาณน้ำที่ต้องสูบ ณ ระดับที่สอง ทำการสูบน้ำโดยดำเนินการเหมือนระดับแรก</t>
  </si>
  <si>
    <t>๓.๓.๑.๙ หาค่าปริมาณน้ำจำเพาะ (Specific Capacity) ของระดับที่สาม</t>
  </si>
  <si>
    <t>๓.๓.๑.๑๐ ปรับระดับสูบน้ำ (Pumping Level) ให้อยู่ที่จุด (Allowable drawdown)</t>
  </si>
  <si>
    <t>๓.๓.๑.๑๑ หาค่าปริมาณน้ำที่ต้องสูบ ณ ระดับที่สาม ทำการสูบน้ำโดยดำเนินการเหมือนระดับแรก</t>
  </si>
  <si>
    <t xml:space="preserve">๓.๓.๑.๑๒ เมื่อทำการทดสอบครั้งที่สามแล้ว หากปรากฎว่าระดับน้ำลด แตกต่างจากค่า Allowable </t>
  </si>
  <si>
    <t>๓.๓.๑.๑๓ ในกรณีที่ทำการทดสอบปริมาณน้ำแล้วพบว่าน้ำบาดาลมีปริมาณน้ำมากๆ จนระดับน้ำลด</t>
  </si>
  <si>
    <t>ออกเป็น ๓ ระดับ คือ ระดับที่สูบน้ำได้ปริมาณ ๓๐, ๕๐ และ ๘๐ แกลลอน/นาที ส่วนวิธีการ</t>
  </si>
  <si>
    <t>ใกล้เคียงหรือเท่ากับระดับน้ำคงที่ (Static Water Level) ไม่เกิน ๑๐ เปอร์เซ็นต์ ของระดับ</t>
  </si>
  <si>
    <t xml:space="preserve">น้ำคงที่ ภายใน ๒๔ ชั่วโมง </t>
  </si>
  <si>
    <t>ให้หยุดสูบน้ำ และวัดระดับน้ำในบ่อขณะคืนตัว (Recovery) จนกระทั่งระดับน้ำคืนตัวขึ้นมา</t>
  </si>
  <si>
    <t>๓.๓.๑.๑๔ เมื่อระดับน้ำลดในการทดสอบครั้งสุดท้ายมีค่าใกล้เคียงกับ Allowable drawdown แล้ว</t>
  </si>
  <si>
    <t>๓.๓.๑.๑๕ นำผลการทดสอบของค่าปริมาณน้ำและระยะน้ำลดทุกระดับที่ระยะน้ำลดไม่เปลี่ยนแปลง</t>
  </si>
  <si>
    <t>ให้เป็นผู้ประกอบวิชาชีพวิศวกรรมควบคุม จากสภาวิศวกรตามพระราชบัญญัติวิศวกร พ.ศ. ๒๕๔๒</t>
  </si>
  <si>
    <t xml:space="preserve">๓.๓.๒.๓ ผู้รับจ้างจะต้องทำรายงานผลการทดสอบปริมาณน้ำ และการวิเคราะห์คุณภาพน้ำจากบ่อบาดาล </t>
  </si>
  <si>
    <t>จำนวน ๑ ชุด (ไม่น้อยกว่า ๑๔ ตัวอย่าง)โดยวิเคราะห์คุณสมบัติทางกายภาพ ทางเคมี สารเป็นพิษ และ</t>
  </si>
  <si>
    <t>ชอบ จำนวน ๓ ชุด (ต้นฉบับ ๑ ชุด, สำเนา ๒ ชุด) ก่อนใช้งาน โดยค่าใช้จ่ายทั้งหมดเป็นของผู้รับจ้างเอง</t>
  </si>
  <si>
    <t xml:space="preserve">ช่วงล่างหอถังสูง ตามแบบเลขที่ ๓๒๑๒๐๒๐ </t>
  </si>
  <si>
    <t>สายไฟฟ้าขนาด dia ๑ นิ้ว ที่ด้านบนและด้านล่างด้านละอย่างน้อย ๑ รู พร้อมยางหุ้มป้องกันสายไฟ</t>
  </si>
  <si>
    <t xml:space="preserve">๑. โวลท์มิเตอร์ </t>
  </si>
  <si>
    <t xml:space="preserve">๒. แอมป์มิเตอร์ </t>
  </si>
  <si>
    <t>๓. หลอดไฟแสดงความพร้อมทำงาน</t>
  </si>
  <si>
    <t>๔. หลอดไฟแสดงการทำงาน</t>
  </si>
  <si>
    <t>๕. หลอดไฟแสดงการโอเวอร์โหลด</t>
  </si>
  <si>
    <t xml:space="preserve">๖. เครื่องวัดชั่วโมงการทำงาน </t>
  </si>
  <si>
    <t xml:space="preserve">๗. สวิตซ์ลูกศร </t>
  </si>
  <si>
    <t xml:space="preserve">๑. เบรกเกอร์ </t>
  </si>
  <si>
    <t xml:space="preserve">๒. เคอร์เรนท์ทรานฟอร์เมอร์ </t>
  </si>
  <si>
    <t xml:space="preserve">๓. ฟิวส์ </t>
  </si>
  <si>
    <t xml:space="preserve">๔. แมกเนติกคอนเทคเตอร์ </t>
  </si>
  <si>
    <t xml:space="preserve">๕.โอเวอร์โหลด และปุ่ม Reset </t>
  </si>
  <si>
    <t xml:space="preserve">๖. เฟส/มอเตอร์โปรแทคเตอร์ </t>
  </si>
  <si>
    <t>๗. Terminal Blocks</t>
  </si>
  <si>
    <t xml:space="preserve">รูปที่ ๑ ลักษณะและส่วนประกอบของตู้ควบคุมเครื่องสูบน้ำดิบ แบบซับเมิสซิเบิ้ล </t>
  </si>
  <si>
    <t xml:space="preserve">รูปที่ ๒ แบบแสดงวงจรไฟฟ้าตู้ควบคุมเครื่องสูบน้ำดิบ แบบซับเมิสซิเบิ้ล </t>
  </si>
  <si>
    <t>๑. ตัวเครื่องสูบน้ำแบบซับเมิสซิเบิ้ล จำนวน ๑ ตัว</t>
  </si>
  <si>
    <t>๒. มอเตอร์ไฟฟ้าขับเคลื่อนเครื่องสูบน้ำ จำนวน ๑ ตัว</t>
  </si>
  <si>
    <t>๓. อุปกรณ์ประกอบเครื่องสูบน้ำ จำนวน ๑ ชุด</t>
  </si>
  <si>
    <t>เมตร ที่ความเร็วรอบระหว่าง  ๒,๗๐๐-๓,๐๐๐ รอบ/นาที</t>
  </si>
  <si>
    <t>มีประสิทธิภาพการสูบไม่ต่ำกว่าร้อยละ ๕๕</t>
  </si>
  <si>
    <t>๑. เป็นมอเตอร์ไฟฟ้าที่ใช้กับไฟฟ้า ๑ เฟส ๒๒๐ โวลท์ ๕๐ เฮิร์ท ให้กำลังไม่น้อยกว่า</t>
  </si>
  <si>
    <t>๓. ระบบของมอเตอร์ไฟฟ้าจะต้องเป็นชนิด</t>
  </si>
  <si>
    <t>๓.๑ WATER LUBRICATED CARBON BEARING SYSTEM</t>
  </si>
  <si>
    <t>๓.๒ HERMETICALLY SEALED STATOR</t>
  </si>
  <si>
    <t>๓.๓ BUILT-IN LIGHTNING ARRESTORS</t>
  </si>
  <si>
    <t>๓.๔ LIP TYPE SHAFT SEAL</t>
  </si>
  <si>
    <t>๔. เป็นมอเตอร์ไฟฟ้าที่ต่อกับสายไฟฟ้าชนิดต่อแบบปลั๊กเสียบขันเกลียวยึดแน่นด้วย</t>
  </si>
  <si>
    <t>๕. มีชุดสำหรับสตาร์ทมอเตอร์ ที่ออกแบบมาจากบริษัทผู้ผลิตมอเตอร์</t>
  </si>
  <si>
    <t>๑. มีฝาครอบปากบ่อบาดาลเป็นแผ่นเหล็กหนาไม่น้อยกว่า ๑๒ มิลลิเมตร dia ๒๐ ซม.</t>
  </si>
  <si>
    <t xml:space="preserve">๑. No.Fuse Breaker ชนิด ๒ Poles มี Interrupting Capacity ไม่น้อยกว่า ๒๒ KA </t>
  </si>
  <si>
    <t>๕. Fuse Control ชนิด Cartridge fuse ขนาด ๒ A. จำนวน ๑ ตัว</t>
  </si>
  <si>
    <t xml:space="preserve">เครื่องสูบน้ำแบบซับเมิสซิเบิ้ล ขับเคลื่อนด้วยมอเตอร์ไฟฟ้า จะต้องมีลักษณะทั่วไปดังนี้ </t>
  </si>
  <si>
    <t>ผู้ผลิตอย่างเป็นทางการโดยจะต้องแสดงหนังสือแต่งตั้งตัวจริงพร้อมประทับตราจากบริษัทผู้ผลิตในกรณีเป็น</t>
  </si>
  <si>
    <t xml:space="preserve">ผลิตภัณฑ์นำเข้าให้ส่งสำเนาเอกสารนำเข้า (Invoice) มาให้ตรวจสอบด้วย </t>
  </si>
  <si>
    <t xml:space="preserve">ให้บริการได้ </t>
  </si>
  <si>
    <t xml:space="preserve">และหมายเลขรุ่นของเครื่องสูบน้ำ และอุปกรณ์ที่จะใช้ทำการติดตั้ง  และให้แสดงรายละเอียด Material of </t>
  </si>
  <si>
    <t>construction performance data ของเครื่องสูบน้ำและมอเตอร์ไฟฟ้า พร้อมทั้งใบอนุญาตหรือแต่งตั้งให้</t>
  </si>
  <si>
    <t>เป็นผู้แทนจำหน่าย-บริการในประเทศไทย หนังสือรับรองการผลิตตามมาตรฐานอุตสาหกรรม มอก.๑๔๓๔-</t>
  </si>
  <si>
    <t>๒๕๔๐ (ถ้ามี) เพื่อให้ผู้ว่าจ้างหรือผู้แทนผู้ว่าจ้างตรวจสอบคุณลักษณะเฉพาะว่าถูกต้องตามที่กำหนดในราย-</t>
  </si>
  <si>
    <t>การข้อกำหนดหรือไม่ เมื่อผู้ว่าจ้างหรือผู้แทนผู้ว่าจ้างพิจารณาอนุญาตให้นำเครื่องสูบน้ำดังกล่าว ไปใช้งาน</t>
  </si>
  <si>
    <t xml:space="preserve">จึงจะสามารถทำการติดตั้งในสนามได้ </t>
  </si>
  <si>
    <t>ยาว ๔ ม. ชั้น ๑๓.๕ ปลายเรียบ dia ๑-๑/๒" จำนวน ๘ ท่อน โดยแต่ละชุดมีส่วนประกอบและรายละเอียด</t>
  </si>
  <si>
    <t>แบบซับเมิสซิเบิ้ล พร้อมอุปกรณ์ควบคุม จำนวน ๑ ชุด  นำมาติดตั้งในบ่อบาดาล พร้อมประสานท่อและ</t>
  </si>
  <si>
    <t xml:space="preserve">ประเภทงานอาคาร, โครงสร้างคอนกรีตเสริมเหล็ก, สาธารณูปโภค  </t>
  </si>
  <si>
    <t>๒.๑ จัดหาและติดตั้งเครื่องสูบน้ำบาดาลพร้อมอุปกรณ์ควบคุม จำนวน ๑ ชุด</t>
  </si>
  <si>
    <t xml:space="preserve">จัดหาและติดตั้งเครื่องสูบน้ำบาดาลพร้อมอุปกรณ์ควบคุม  </t>
  </si>
  <si>
    <t xml:space="preserve">ถังกรองสนิมเหล็ก ขนาด ๗ ลบ.ม./ชม.    </t>
  </si>
  <si>
    <t>๙๒๑๐๐๑</t>
  </si>
  <si>
    <t>๙๒๑๐๐๑,</t>
  </si>
  <si>
    <t>1. เสา/บานประตูรั้ว</t>
  </si>
  <si>
    <t>ทรายหยาบ,ทรายหยาบรองพื้น</t>
  </si>
  <si>
    <t>เหล็กเสริม</t>
  </si>
  <si>
    <t>ลวดตาข่ายสี่เหลี่ยมขนมเปียกปูน dia. 3 มม. ขนาดช่อง 38 มม.</t>
  </si>
  <si>
    <t>บุ๊ชสลักติดบานประตู dia. 1-1/2 นิ้ว</t>
  </si>
  <si>
    <t>กลอนเหล็กและกุญแจ</t>
  </si>
  <si>
    <t>ฉาบปูนเรียบธรรมดา</t>
  </si>
  <si>
    <t>ทาสีน้ำพลาสติก</t>
  </si>
  <si>
    <t>รวมเงิน (1) ยอดยกไป</t>
  </si>
  <si>
    <t>รวมเงิน (1) ยอดยกมา</t>
  </si>
  <si>
    <t>2. เสามุมรั้วต่อ 1 ต้น</t>
  </si>
  <si>
    <t>เสามุมรั้วคิดเป็นเงินรวม</t>
  </si>
  <si>
    <t>รวมเป็นเงิน (1) + (2)</t>
  </si>
  <si>
    <t>รวมเงิน (2) ยอดยกไป</t>
  </si>
  <si>
    <t>รวมเงิน (2) ยอดยกมา</t>
  </si>
  <si>
    <t>3. รั้ว, เสารั้วต่อ 10 ช่วงเสา (ยาว 20 ม.)</t>
  </si>
  <si>
    <t>ลวดหนาม เบอร์ 12 dia 2.64 มม.</t>
  </si>
  <si>
    <t xml:space="preserve">เสารั้ว คสล. สำเร็จรูป 4 x 4 นิ้ว ยาว 2.50 ม. </t>
  </si>
  <si>
    <t>น๊อต dia. 4 มม.</t>
  </si>
  <si>
    <t>ราคา/20 ม.</t>
  </si>
  <si>
    <t>รั้ว-เสารั้ว คิดเป็นเงินต่อเมตร</t>
  </si>
  <si>
    <t>ราคา/ ม.</t>
  </si>
  <si>
    <t>รั้ว-เสารั้ว คิดเป็นเงินรวม</t>
  </si>
  <si>
    <t>ที่</t>
  </si>
  <si>
    <t>ลำดับ</t>
  </si>
  <si>
    <t>๑.๕ ดินถม จำนวน ๑ รายการ</t>
  </si>
  <si>
    <t>๑.๖ ทดสอบการรับน้ำหนักบรรทุกของดิน จำนวน ๑ จุด</t>
  </si>
  <si>
    <t>๑.๗ การประสานระบบไฟฟ้าภายใน จำนวน ๑ ระบบ</t>
  </si>
  <si>
    <t xml:space="preserve">รั้ว-ประตูรั้ว ( ๗ x ๑๑ ม.)   </t>
  </si>
  <si>
    <t xml:space="preserve">๑.๑ ป้ายการประปา จำนวน ๑ ป้าย  </t>
  </si>
  <si>
    <t xml:space="preserve">๑.๒ รั้ว, ประตูรั้ว ความยาว ๓๖ เมตร </t>
  </si>
  <si>
    <t>๑.๙ ถังกรองสนิมเหล็ก ขนาด ๗ ลบ.ม./ชม. จำนวน ๑ ถัง</t>
  </si>
  <si>
    <t xml:space="preserve">๑.๑๑ ระบบท่อส่งน้ำดิบ จำนวน ๑ ระบบ </t>
  </si>
  <si>
    <t>๑.๓ การประสานท่อระหว่างระบบ จำนวน ๑ ระบบ</t>
  </si>
  <si>
    <t xml:space="preserve">๑.๔ การประสานท่อที่ปากบ่อบาดาล จำนวน ๑ ชุด </t>
  </si>
  <si>
    <t>๒.๑ จัดหาและติดตั้งเครื่องสูบน้ำบาดาลพร้อมอุปกรณ์ จำนวน ๑ ชุด</t>
  </si>
  <si>
    <t>๓.๒.๑.๔ ผลการทดสอบการรับน้ำหนักบรรทุกของดิน จะพิจารณาดังนี้ คือ</t>
  </si>
  <si>
    <t>ดินรับน้ำหนักบรรทุกได้ไม่น้อยกว่า ๒๐ ตัน/ตร.ม.</t>
  </si>
  <si>
    <t>การออกแบบ ระยะที่ตอกเสาเข็มจม ซม./ครั้ง โดยคิดเฉลี่ยจากการตอก ๑๐ ครั้งสุดท้าย</t>
  </si>
  <si>
    <t>รายงานผลการทดสอบการรับน้ำหนักบรรทุกของดิน ทุกๆ ระยะความลึก ๑.๐๐ เมตร</t>
  </si>
  <si>
    <t xml:space="preserve">๓.๒.๑.๓ รายงานผลการทดสอบการรับน้ำหนักบรรทุกของดิน ให้จัดส่งรายงานจำนวน ๓ เล่ม </t>
  </si>
  <si>
    <t xml:space="preserve"> โดยรายงานแต่ละเล่มประกอบด้วย (ฉบับจริง ๑ เล่ม, สำเนา ๒ เล่ม)</t>
  </si>
  <si>
    <t>แข็งพอเพียงโดยจะต้องมีความลึกไม่น้อยกว่า ๖.๐๐ เมตร</t>
  </si>
  <si>
    <t>หากผลการเจาะสำรวจไม่พบชั้นดินที่แข็ง จนถึงระดับ ๖.๐๐ เมตร และจำนวนตอก</t>
  </si>
  <si>
    <t>กระแทกของลูกตุ้มต่อฟุตน้อยกว่าข้อ ๓.๒.๑.๒.๓ ให้เจาะสำรวจไปจนถึงชั้นดินที่มีความ</t>
  </si>
  <si>
    <t xml:space="preserve">ให้ผู้รับจ้างย้ายตำแหน่งไปทดสอบที่ใหม่อีกครั้งหนึ่ง โดยห่างจากจุดเดิมไม่น้อยกว่า ๕.๐๐ </t>
  </si>
  <si>
    <t>การทดสอบนี้เพียงพอต่อความต้องการแล้ว ให้รายงานผลการทดสอบทั้ง ๒ จุด ด้วย และ</t>
  </si>
  <si>
    <t>๓.๒.๑.๒.๓ ในการเจาะสำรวจชั้นดินได้ระดับความลึกไม่ถึง ๓.๐๐ เมตร จากระดับดินเดิม</t>
  </si>
  <si>
    <t xml:space="preserve">Cohesion Soil (ดินเหนียว) มากกว่า ๓๕ ครั้งต่อฟุต </t>
  </si>
  <si>
    <t xml:space="preserve">Cohesionless Soil (ดินทราย) มากกว่า ๖๐ ครั้งต่อฟุต </t>
  </si>
  <si>
    <t>ผู้รับจ้างจะต้องทดสอบให้ได้ความลึกไม่น้อยกว่า ๖.๐๐ เมตร จากระดับดินเดิม</t>
  </si>
  <si>
    <t xml:space="preserve">(Blow count) ทุกระยะ ๑.๐๐ เมตรจากระดับดินเดิม และให้บันทึกข้อมูลสิ่งแวดล้อมใน </t>
  </si>
  <si>
    <t>๓.๒.๑.๒ การทดสอบ</t>
  </si>
  <si>
    <t>๓.๒.๑.๑ เตรียมเครื่องมือและอุปกรณ์ในการทดสอบ ตามมาตรฐาน ASTM D ๑๕๘๖-๘๗ ได้แก่ กระบอกผ่า</t>
  </si>
  <si>
    <t>๓๐ นิ้ว, ก้านนำตุ้มและแป้นรอง, สามขา และเครื่องยนต์ เป็นต้น</t>
  </si>
  <si>
    <t>(Split Spoon) ขนาดเส้นผ่าศูนย์กลางภายนอก ๒ นิ้ว, ลูกตุ้มหนัก ๑๔๐ ปอนด์ ยกสูงไม่น้อยกว่า</t>
  </si>
  <si>
    <t>แบบเลขที่ ......………….</t>
  </si>
  <si>
    <t>(๑-๑)</t>
  </si>
  <si>
    <t xml:space="preserve"> ๗. แบบเลขที่</t>
  </si>
  <si>
    <t>ดำเนินการก่อสร้างถังกรองสนิมเหล็ก ขนาด ๗ ลบ.ม./ชม. ลงในบริเวณก่อสร้างระบบประปาแบบเลขที่....</t>
  </si>
  <si>
    <t>วัสดุที่เป็นโลหะให้ทาสีน้ำมัน ชนิดและวิธีการทาสี  ตามที่ระบุไว้ในรายการรายละเอียดทั่วไปประกอบ</t>
  </si>
  <si>
    <t>ประปา  ณ บริเวณด้านหน้าที่ตั้งระบบประปาตามแบบเลขที่……………..</t>
  </si>
  <si>
    <t>เมื่อก่อสร้างแล้วเสร็จ ให้ทาสีน้ำพลาสติกเฉพาะเสาประตูรั้ว, เสารั้ว และทาสีน้ำมันในส่วนที่เป็นโลหะ หาก</t>
  </si>
  <si>
    <t>ความยาวรั้วลวดหนามก่อสร้างไม่ถึง.…….........</t>
  </si>
  <si>
    <t>เมตร  ให้คืนเงินตามประมาณการของสำนักงานทรัพยากรน้ำ</t>
  </si>
  <si>
    <t>ภาค ๑๐  ในราคาเมตรละ.................</t>
  </si>
  <si>
    <t xml:space="preserve">บาท  </t>
  </si>
  <si>
    <t xml:space="preserve"> ณ บริเวณก่อสร้างระบบประปา ตามแบบเลขที่…………</t>
  </si>
  <si>
    <t>๓.๙.๑ รายละเอียดคุณลักษณะทั่วไป</t>
  </si>
  <si>
    <t xml:space="preserve">๓.๙.๑.๑ เป็นของใหม่ไม่เคยใช้งานมาก่อน </t>
  </si>
  <si>
    <t>๓.๙.๑.๒ เป็นผลิตภัณฑ์ที่ผลิตและประกอบเป็นชุดสำเร็จจากโรงงานผู้ผลิตในทวีปยุโรป หรือออส-</t>
  </si>
  <si>
    <t>๓.๙.๑.๓ มีผู้แทนจำหน่ายและให้บริการภายในประเทศซึ่งได้รับการแต่งตั้ง หรืออนุญาตจากบริษัท</t>
  </si>
  <si>
    <t>๓.๙.๑.๔ มีการใช้งานอย่างแพร่หลายในประเทศไทย และตัวแทนจำหน่ายต้องมีอะไหล่พร้อมที่จะ</t>
  </si>
  <si>
    <t>ยาว ๑.๕๐ ม.</t>
  </si>
  <si>
    <t xml:space="preserve"> ๐.๖๐ ม.</t>
  </si>
  <si>
    <t>๓.๙.๑.๕ ก่อนที่จะจัดหาหรือติดตั้ง ผู้รับจ้างจะต้องส่งรูปแบบหรือแคตตาล็อกโดยให้ระบุแบบขนาด</t>
  </si>
  <si>
    <t>๓.๙.๒ รายละเอียดคุณลักษณะเฉพาะ</t>
  </si>
  <si>
    <t>๓.๙.๒.๑ เครื่องสูบน้ำบาดาลชนิดซับเมิสซิเบิ้ล ๑ เครื่อง ประกอบด้วย</t>
  </si>
  <si>
    <t>๓.๙.๒.๒ เป็นเครื่องสูบน้ำบาดาล ที่สามารถใช้ติดตั้งลงในบ่อบาดาลขนาด dia ๖ นิ้ว ได้</t>
  </si>
  <si>
    <t>๓.๙.๒.๓ ตัวเครื่องสูบน้ำแบบซับเมิสซิเบิ้ล จำนวน ๑ ตัว ตามข้อ ๓.๙.๒.๑ (๑)  มีรายละเอียดดังนี้</t>
  </si>
  <si>
    <t xml:space="preserve">๓.๙.๒.๔ มอเตอร์ไฟฟ้าขับเคลื่อนเครื่องสูบน้ำ จำนวน ๑ ตัว ตามข้อ ๓.๙.๒.๑(๒) มีรายละเอียดดังนี้ </t>
  </si>
  <si>
    <t>๑. มีตัวเรือนสูบ (CASING) ทำด้วย STAINLESS STEEL หรือ CAST IRON</t>
  </si>
  <si>
    <t>๓. มีเพลาเครื่องสูบน้ำ (SHAFT) ทำด้วย STAINLESS STEEL</t>
  </si>
  <si>
    <t>๔. มี CHECK VALVE กันน้ำไหลกลับตัวเรือน</t>
  </si>
  <si>
    <t>POLYPROPYLENE</t>
  </si>
  <si>
    <t xml:space="preserve">๒. ใบพัด (IMPELLER) ทำด้วย STAINLESS STEEL หรือ CAST IRON หรือ </t>
  </si>
  <si>
    <t>๒. มีสายไฟฟ้าสำหรับต่อไฟฟ้าจากมอเตอร์ไฟฟ้าถึงตู้ควบคุม ชนิด VCT  (เส้นลวดทองแดง</t>
  </si>
  <si>
    <t>๓.๙.๒.๕ อุปกรณ์ประกอบเครื่องสูบน้ำ จำนวน ๑ ชุด ตามข้อ ๓.๙.๒.๑ (๓) มีรายละเอียดดังนี้</t>
  </si>
  <si>
    <t>ท่อส่งน้ำดิบตามแบบเลขที่……….</t>
  </si>
  <si>
    <t>ท่อ ตามแบบระบบท่อส่งน้ำดิบ  แล้วทำการวางท่อส่งน้ำดิบ โดยขุดดิน เชื่อมประสานท่อ วางท่อ ฝังกลบ</t>
  </si>
  <si>
    <t xml:space="preserve">แรงม้า  ๒๒๐ โวลท์  ๑ เฟส ดังนี้ </t>
  </si>
  <si>
    <t>๕. เป็นเครื่องสูบน้ำที่สามารถสูบน้ำได้ปริมาณไม่น้อยกว่า………...................</t>
  </si>
  <si>
    <t>ระยะและตำแหน่งตามแบบการประสานท่อระหว่างระบบเลขที่......……………….</t>
  </si>
  <si>
    <t>เตรเลีย หรือสหรัฐอเมริกา หรือประเทศไทย หรือญี่ปุ่น หรือโรงงานสาขาของบริษัทฯ   โดยผู้ผลิตเหล่านี้</t>
  </si>
  <si>
    <t>ได้รับอนุญาตอย่างเป็นทางการจากผู้ผลิตและมีการควบคุมดูแลการผลิตจากบริษัทฯ แม่ภายใต้มาตรฐาน</t>
  </si>
  <si>
    <t xml:space="preserve">เดียวกัน โดยมีหนังสือแต่งตั้งหรือรับรองจากบริษัทฯ แม่ เป็นหลักฐานและสามารถตรวจสอบได้ </t>
  </si>
  <si>
    <t>๓.๕ DOWNWARD THRUST NOT LESSTHAN ๖๕๐ LBS.</t>
  </si>
  <si>
    <t xml:space="preserve">๖. ฉนวนหุ้มขดลวดของมอเตอร์เป็นฉนวนแบบ Class F (Insulation Class F) </t>
  </si>
  <si>
    <t>คุณลักษณะเฉพาะของเครื่องสูบน้ำแบบซับเมิสซิเบิ้ล ขนาด...............................</t>
  </si>
  <si>
    <t>๓.๙.๓.๑ ตู้เหล็กมีฝาปิดขนาดไม่เล็กกว่า ๒๐ x ๔๔ x ๖๐ ซม. พร้อมกุญแจล๊อค เจาะรูสำหรับร้อย</t>
  </si>
  <si>
    <t>๓.๙.๓.๒ อุปกรณ์ภายในตู้ประกอบเป็นวงจร Direct on line</t>
  </si>
  <si>
    <t>๓.๙.๓.๓ อุปกรณ์ที่ฝาตู้</t>
  </si>
  <si>
    <t xml:space="preserve">๓.๙.๓.๔ สายไฟทั้งหมดใช้ตาม มอก. ๑๑ - ๒๕๓๑ </t>
  </si>
  <si>
    <t>๓.๙.๓.๕ ให้นำชุดสำหรับสตาร์ทมอเตอร์สำหรับเครื่องสูบน้ำแบบซับเมิสซิเบิ้ลที่มากับเครื่อง</t>
  </si>
  <si>
    <t># รายการที่ ๓.๙.๓  เป็นผลิตภัณฑ์จากประเทศ ญี่ปุ่น หรือ อเมริกา หรือเทียบเท่า</t>
  </si>
  <si>
    <t>ตามข้อ ๓.๙.๓ ใหม่ โดยคณะกรรมการตรวจการจ้าง จะกำหนดให้ และผู้รับจ้างจะขอค่าใช้จ่ายเพิ่มเติม</t>
  </si>
  <si>
    <t>๒. Magnetic Contactor  ใช้ Coil ๒๒๐ V. มี Max Rated Motor Capacity ไม่น้อยกว่า</t>
  </si>
  <si>
    <t>๒ แรงม้า (๑.๕ กิโลวัตต์) ที่ความเร็วรอบระหว่าง ๒,๗๐๐-๓,๐๐๐ รอบ/นาที</t>
  </si>
  <si>
    <t>๒. เป็นมอเตอร์ไฟฟ้าชนิดใช้ต่อกับเครื่องสูบน้ำด้วยข้อต่อเพลาทำด้วย STAINLESS STEEL</t>
  </si>
  <si>
    <t>STAINLESS STEEL โดยประกอบกันมาเป็นชุด</t>
  </si>
  <si>
    <t xml:space="preserve">ตามมาตรฐาน NEMA หรือ IEC และมีระบบป้องกันไม่ต่ำกว่า IP๕๘ </t>
  </si>
  <si>
    <t>ใช้ท่อสั้น GS หรือ API dia ๒ นิ้ว ยาว ๓๕ เซนติเมตร ทำเกลียวหัวท้ายร้อยตรงกลาง แล้วเชื่อม</t>
  </si>
  <si>
    <t>โดยรอบทั้งบนและล่าง เจาะรู ๒ รู สำหรับร้อยสายไฟฟ้าและวัดระดับน้ำ</t>
  </si>
  <si>
    <t>ฝอยอบ, ฉนวนหุ้ม PVC) ขนาด ๓ x ๒.๕ ตารางมิลลิลิตร หรือเบอร์ ๑๖  หรือตามที่บริษัทผู้ผลิตฯ</t>
  </si>
  <si>
    <t>กำหนด ความยาวไม่น้อยกว่า……๕๐  เมตร</t>
  </si>
  <si>
    <t>๓.๙.๓ ตู้ควบคุมการทำงานของมอเตอร์ไฟฟ้า (แบบ DIRECT ON LINE) จำนวน ๑ ตู้  โดยติดตั้งไว้บริเวณ</t>
  </si>
  <si>
    <t>ที่ AC. ๒๔๐ V.  ตามมาตรฐาน NEMA หรือ JIS หรือ JEM หรือ IEC หรือ มอก. มี Amp.Trip…</t>
  </si>
  <si>
    <t>๒๐ A.  จำนวน ๑ ตัว</t>
  </si>
  <si>
    <t>๕ KW. ๒๖ A. ที่ AC. ๒๒๐ V. มี Auxiliary Contact ๒ NO, ๒ NC ตามมาตรฐาน NEMA หรือ JIS</t>
  </si>
  <si>
    <t>หรือ JEM หรือ IEC หรือ มอก. จำนวน ๑ ตัว</t>
  </si>
  <si>
    <t>๓. Thermal Overload Relay  ชนิด ๓ Element มี Auxiliary Contact ๑  NO,๑ NC</t>
  </si>
  <si>
    <t>และปุ่ม Reset  มีตัวตั้งค่าทนกระแสสามารถปรับได้ต่ำสุดไม่มากกว่า…………..</t>
  </si>
  <si>
    <t>A.   และสูงสุดไม่</t>
  </si>
  <si>
    <t>น้อยกว่า……………..</t>
  </si>
  <si>
    <t>A.  ตามมาตรฐาน NEMA หรือ JIS หรือ JEM  หรือ IEC หรือ มอก. จำนวน</t>
  </si>
  <si>
    <t>๑ ตัว</t>
  </si>
  <si>
    <t xml:space="preserve">๔. Current Transformers มี Rated Burden ไม่น้อยกว่า ๕ VA. จำนวน ๑ ตัว </t>
  </si>
  <si>
    <t>๖. Motor Protector ใช้กับไฟฟ้า ๑ เฟส ๒๒๐ โวลท์ สามารถป้องกันมอเตอร์จากกรณีดังนี้</t>
  </si>
  <si>
    <t>๑. Voltmeter หน้าปัทม์สี่เหลี่ยมขนาดไม่เล็กกว่า ๘๐ x ๘๐ มม. มีสเกลสามารถอ่านค่าได้</t>
  </si>
  <si>
    <t>ตั้งแต่ ๐ - ๓๐๐ V. จำนวน ๑ ตัว</t>
  </si>
  <si>
    <t>๒. C/T Ammeter หน้าปัทม์สี่เหลี่ยมขนาดไม่เล็กกว่า ๘๐ x ๘๐ มม. มีสเกลสามารถอ่าน</t>
  </si>
  <si>
    <t>ค่าได้ตั้งแต่......……………</t>
  </si>
  <si>
    <t>A.  ถึง……………..</t>
  </si>
  <si>
    <t>A. จำนวน ๑ ตัว</t>
  </si>
  <si>
    <t>๓. Hour Meter AC ๒๒๐ V. มีหน้าปัทม์เป็นเลขจำนวนเต็มไม่น้อยกว่า ๔ หลัก และ</t>
  </si>
  <si>
    <t>ทศนิยม ๑ หลัก จำนวน ๑ ตัว</t>
  </si>
  <si>
    <t>๔. Selector Switch ชนิดปิด - เปิด ได้ ๓ ตำแหน่ง  มีอักษร MANUAL - OFF - AUTO</t>
  </si>
  <si>
    <t>จำนวน ๑ ตัว</t>
  </si>
  <si>
    <t>๕. Pilot Lamp AC. ๒๒๐ V.</t>
  </si>
  <si>
    <t>๕.๑ สีแดง</t>
  </si>
  <si>
    <t>๕.๒ สีเขียว</t>
  </si>
  <si>
    <t>๕.๓ สีเหลือง</t>
  </si>
  <si>
    <t>๑. วงจร Power ใช้สาย THW ขนาด ๖ ตารางมิลลิเมตร ( ๗ เส้น )</t>
  </si>
  <si>
    <t xml:space="preserve">๒. วงจร Control ใช้สาย VAF ขนาด ๑.๕ ตารางมิลลิเมตร </t>
  </si>
  <si>
    <t>๓. การเดินสายไฟระหว่างอุปกรณ์ภายในตู้ให้ใช้ Plastic Wiring Duct</t>
  </si>
  <si>
    <t>๔. การเดินสายไฟระหว่างอุปกรณ์ที่ฝาตู้ให้ใช้ Spiral Tube</t>
  </si>
  <si>
    <t>๕. จุดต่อระหว่างอุปกรณ์ภายในตู้กับที่ฝาตู้ให้ใช้ Terminal Blocks</t>
  </si>
  <si>
    <t>๖. ปลายของสายไฟทั้งหมดให้ย้ำด้วยหัวเสียบหรือหางปลาและทำเครื่องหมายด้วย</t>
  </si>
  <si>
    <t>Wire Marker</t>
  </si>
  <si>
    <t>๗. ให้ต่อวงจรตาม Wiring Diagram ที่กำหนดและถ่ายสำเนาติดไว้ภายในตู้ด้วย</t>
  </si>
  <si>
    <t>พร้อมยึดรั้งเครื่องสูบน้ำด้วยลวดสลิง หรือเชือกมนิลา ให้มั่นคงแข็งแรง และร้อยสายไฟจากเครื่องสูบน้ำ</t>
  </si>
  <si>
    <t xml:space="preserve">ไปยังตู้ควบคุมวงจร ด้วยท่อ PVC. ร้อยสายไฟ (สีเหลือง) มอก.๒๑๖-๒๕๒๔ dia ๓/๔ นิ้ว </t>
  </si>
  <si>
    <t>ขนาด ๒ แรงม้า (๑.๕ กิโลวัตต์) ใช้กับกระแสไฟฟ้า ๑ เฟส ๒๒๐ โวลท์ ๕๐ เฮิร์ท</t>
  </si>
  <si>
    <t>๘. ชุดสตาร์ทมอเตอร์</t>
  </si>
  <si>
    <t>อีกมิได้  ให้นำเครื่องสูบน้ำดังกล่าวมาทำการติดตั้งลงในบ่อบาดาล ตำแหน่งตามแบบเลขที่ ๑๒๔๑๐๐๗</t>
  </si>
  <si>
    <t>ก่อนส่งงานงวดสุดท้าย ผู้รับจ้างจะต้องปรับพื้นที่ เกลี่ย แต่ง และเก็บวัสดุเหลือใช้ภายในบริเวณก่อสร้าง</t>
  </si>
  <si>
    <t>ทั้งหมดให้เรียบร้อย และดูสวยงาม รวมทั้งแนวท่อจ่ายน้ำ จนเป็นที่พอใจแก่คณะกรรมการตรวจการจ้าง</t>
  </si>
  <si>
    <t>ในกรณีที่ยกเลิกการตอกเสาเข็มแล้วก่อสร้างฐานรากแผ่ โดยใช้ขนาดใหญ่ที่สุดตามที่ระบุในแบบมาตรฐาน</t>
  </si>
  <si>
    <t>และผู้รับจ้างจะต้องเปรียบเทียบเพิ่ม-ลดเงินค่าก่อสร้างฐานรากแบบเสาเข็มกับฐานแผ่ โดยใช้ราคากลางของ</t>
  </si>
  <si>
    <t xml:space="preserve">สำนักงานทรัพยากรน้ำภาค ๑๐ เป็นเกณฑ์กำหนด </t>
  </si>
  <si>
    <t>ตามประมาณการของสำนักงานทรัพยากรน้ำภาค ๑๐  ดังนี้ คือ</t>
  </si>
  <si>
    <t>ทรัพยากรน้ำภาค ๑๐  เป็นเงินเมตรละ.....................</t>
  </si>
  <si>
    <t xml:space="preserve">บาท </t>
  </si>
  <si>
    <t>เสาเข็ม ให้แก่ผู้ว่าจ้าง</t>
  </si>
  <si>
    <t>เสาเข็ม ในส่วนที่ไม่ถึง ๖.๐๐ เมตร ให้แก่ผู้ว่าจ้างตามประมาณราคาของสำนักงาน</t>
  </si>
  <si>
    <t>ก.</t>
  </si>
  <si>
    <t>ข.</t>
  </si>
  <si>
    <t>๑. กรณีวิศวกรผู้รับรองผลได้กำหนดความยาวเสาเข็ม น้อยกว่าหรือเท่ากับ ที่ระบุไว้ในแบบ</t>
  </si>
  <si>
    <t>มาตรฐาน ให้ผู้รับจ้างดำเนินการดังนี้</t>
  </si>
  <si>
    <t>ผู้รับจ้างต้องระบุรายละเอียดเสาเข็ม ได้แก่ ขนาดพื้นที่หน้าตัด, เส้นรอบรูป และความยาว</t>
  </si>
  <si>
    <t>เสาเข็มที่จะใช้ ตามรายการคำนวณของวิศวกรส่งสำนักงานทรัพยากรน้ำภาค ๑๐ ซึ่งเป็น</t>
  </si>
  <si>
    <t>ผู้ออกแบบพิจารณา โดยผ่านความเห็นชอบจากคณะกรรมการตรวจการจ้างก่อนลงมือ</t>
  </si>
  <si>
    <t>ค.</t>
  </si>
  <si>
    <t>จำนวน  ๒</t>
  </si>
  <si>
    <t>จำนวน  ๑</t>
  </si>
  <si>
    <t xml:space="preserve"> ๘. แบบเลขที่</t>
  </si>
  <si>
    <t>รวมแบบแปลนที่ใช้ในการก่อสร้างทั้งหมด ๘ หมายเลข  จำนวน..............................</t>
  </si>
  <si>
    <t>ประสานท่อระหว่างระบบ    โดยทำการขุดดิน วางท่อ เชื่อมประสานท่อและอุปกรณ์ กลบดิน ตามแบบ</t>
  </si>
  <si>
    <t xml:space="preserve">ของท่อตามลักษณะการใช้งานในส่วนที่อยู่เหนือผิวดินทั้งหมด  </t>
  </si>
  <si>
    <t>ประสานท่อที่ปากบ่อบาดาล  โดยทำการประสานท่อส่งน้ำดิบเข้ากับท่อเครื่องสูบน้ำดิบ แบบซับเมิสซิเบิ้ล</t>
  </si>
  <si>
    <t>๓.๑๒.๑ ระบบไฟฟ้าภายนอก ในส่วนของการไฟฟ้าส่วนภูมิภาคดำเนินการ</t>
  </si>
  <si>
    <t>๓.๑๒.๑.๑ ผู้รับจ้างจะต้องเป็นผู้ประสานงานในการขออนุญาตใช้ไฟฟ้า และการติดตั้งมิเตอร์ไฟฟ้า</t>
  </si>
  <si>
    <t>๓.๑๒.๒.๑ ปักเสาไฟฟ้า คอร. ความสูงไม่น้อยกว่า ๘.๐๐ เมตร จำนวน……….</t>
  </si>
  <si>
    <t>ส่งมอบเครื่องมือดังกล่าว ให้แก่คณะกรรมการบริหารกิจการระบบประปาหมู่บ้าน โดยผ่านการตรวจสอบ</t>
  </si>
  <si>
    <t>และเห็นชอบจากคณะกรรมการตรวจการจ้างก่อน รวม ๑๑ รายการ ซึ่งมีรายละเอียดคุณสมบัติดังนี้  คือ</t>
  </si>
  <si>
    <t>ผู้รับจ้างจะต้องจัดหาเครื่องมือประจำประปา จำนวน ๑ ชุด(๑๑ รายการ)</t>
  </si>
  <si>
    <t>ประแจคอม้าชนิดขาเดียว ขนาด ๒๔ นิ้ว</t>
  </si>
  <si>
    <t>ประแจเลื่อน ขนาด ๑๐ นิ้ว</t>
  </si>
  <si>
    <t>โครงเลื่อยตัดเหล็ก ๑ อัน พร้อมใบเลื่อย ขนาด ๑๒ นิ้ว จำนวน ๑ โหล</t>
  </si>
  <si>
    <t>คีมล็อก ขนาด ๑๐ นิ้ว</t>
  </si>
  <si>
    <t>ไขควงปากแฉก ขนาด ๔ นิ้ว</t>
  </si>
  <si>
    <t>ไขควงปากแบน ขนาด ๔ นิ้ว</t>
  </si>
  <si>
    <t>ตลับเมตรวัดระยะยาว 5.00 ม. ตัวตลับทำด้วย</t>
  </si>
  <si>
    <t xml:space="preserve">ตลับเมตร ๕ เมตร ตัวตลับทำด้วยโลหะไม่เป็นสนิม ชนิดมีสปริงรั้งกลับ </t>
  </si>
  <si>
    <t>ฆ้อนหัวกลมพร้อมด้าม ขนาด ๒ ปอนด์</t>
  </si>
  <si>
    <t>ตู้เหล็กบานเปิดคู่พร้อมขาตั้ง ขนาด ๔๕ x ๙๐ x ๑๘๐ ซม. หรือ ตู้เหล็ก</t>
  </si>
  <si>
    <t>บานเลื่อนทึบพร้อมขาตั้งขนาด ๔๖.๕" x ๑๖" x ๓๔.๕" แต่ละมิติ</t>
  </si>
  <si>
    <t>( กว้าง x ลึก x สูง ) บวก-ลบ ไม่เกิน ๐.๐๕ ม.</t>
  </si>
  <si>
    <t>คลิ๊ปแอมป์วัดกระแสสลับได้สูงสุดไม่น้อยกว่า ๖๐๐ แอมป์</t>
  </si>
  <si>
    <t xml:space="preserve">ไม่น้อยกว่า ๖๐๐ โวลท์ </t>
  </si>
  <si>
    <t>๓.๑๔ เครื่องมือตรวจวัด</t>
  </si>
  <si>
    <t>๓.๑๔.๑ เครื่องมือตรวจวัดความเป็นกรด - ด่าง ในน้ำ</t>
  </si>
  <si>
    <t>เป็นกรด - ด่าง ในน้ำ จำนวน ๑ ชุด ส่งมอบเครื่องมือดังกล่าวให้แก่คณะกรรมการบริหารกิจการระบบ</t>
  </si>
  <si>
    <t>๓.๑๔.๑.๑ ใช้หลักการของการเทียบสี</t>
  </si>
  <si>
    <t>๓.๑๔.๑.๒ เครื่องมือเทียบสีทำด้วยวัสดุที่ทนทานต่ออุณหภูมิและแรงกระแทก มีฝาหรือครอบปิด</t>
  </si>
  <si>
    <t xml:space="preserve">๓.๑๔.๑.๓ หลอดหรือขวดที่ใส่ตัวอย่างน้ำทำด้วยวัสดุใสซึ่งสามารถมองเห็นการเปลี่ยนสีได้ง่าย </t>
  </si>
  <si>
    <t>๓.๑๔.๑.๔ มีคำอธิบายขั้นตอนการทดลองเป็นภาษาไทย</t>
  </si>
  <si>
    <t>๓.๑๔.๑.๗ สิ่งของทั้งหมดบรรจุในภาชนะมิดชิด และทนทานต่อการใช้งาน</t>
  </si>
  <si>
    <t>๓.๑๔.๑.๖ มีสารละลายหรือสารเคมีที่ใช้ในการทดสอบตัวอย่างน้ำได้ไม่น้อยกว่า ๓๐๐ ตัวอย่าง</t>
  </si>
  <si>
    <t>๓.๑๔.๒ เครื่องมือตรวจวัดสารละลายเหล็กในน้ำ</t>
  </si>
  <si>
    <t>เหล็กในน้ำ จำนวน ๑ ชุด ส่งมอบเครื่องมือดังกล่าวให้แก่คณะกรรมการบริหารกิจการระบบประปา</t>
  </si>
  <si>
    <t>๓.๑๔.๒.๑ ใช้หลักการของการเทียบสี</t>
  </si>
  <si>
    <t>๓.๑๔.๒.๓ หลอดหรือขวดที่ใส่ตัวอย่างน้ำทำด้วยวัสดุใสซึ่งสามารถมองเห็นการเปลี่ยนสีได้ง่าย</t>
  </si>
  <si>
    <t>๓.๑๔.๒.๒ เครื่องมือเทียบสีทำด้วยวัสดุที่ทนทานต่ออุณหภูมิและแรงกระแทก มีฝาหรือครอบปิด</t>
  </si>
  <si>
    <t>๓.๑๔.๒.๔ มีคำอธิบายขั้นตอนการทดลองเป็นภาษาไทย</t>
  </si>
  <si>
    <t>๓.๑๔.๒.๖ มีสารละลายหรือสารเคมีที่ใช้ในการทดสอบตัวอย่างน้ำได้ไม่น้อยกว่า ๑๐๐ ตัวอย่าง</t>
  </si>
  <si>
    <t>๓.๑๔.๒.๕ ช่วงของการวัดสามารถอ่านค่าต่ำสุดไม่น้อยกว่า ๐ มิลลิกรัม/ลิตร ค่าสูงสุดไม่น้อยกว่า</t>
  </si>
  <si>
    <t>๒.๐ มิลลิกรัม/ลิตร และอ่านค่าได้ละเอียด ๐.๑ มิลลิกรัม/ลิตร</t>
  </si>
  <si>
    <t xml:space="preserve">ค่าได้ละเอียด ๐.๕ </t>
  </si>
  <si>
    <t>๓.๑๔.๑.๕ ช่วงของการวัดสามารถอ่านค่าต่ำสุดไม่มากกว่า ๔  ค่าสูงสุดไม่น้อยกว่า ๑๐ และอ่าน</t>
  </si>
  <si>
    <t>๓.๑๔.๒.๗ สิ่งของทั้งหมดบรรจุในภาชนะมิดชิด และทนทานต่อการใช้งาน</t>
  </si>
  <si>
    <t>เมตร จากระดับดินเดิม (สูงกว่าถนนหน้าที่ตั้งระบบประปา ๐.๐๐ ม.) พร้อมบดอัดแน่นและปรับ</t>
  </si>
  <si>
    <t>พื้นที่ให้ได้ระดับ SLOPE ๑ : ๒๐๐ จากกึ่งกลางไปยังตำแหน่งรั้วทุกด้าน</t>
  </si>
  <si>
    <t>พร้อมทดสอบการรั่วซึม  สำหรับการประสานท่อและอุปกรณ์ประปาให้เป็นไปตามแบบเลขที่ ๙๑๑๐๐๑</t>
  </si>
  <si>
    <t>ให้ได้ความยาวรวมไม่น้อยกว่า......................</t>
  </si>
  <si>
    <t>ขนาด ๑/๒ นิ้ว โผล่พ้นดิน ๐.๒๐ เมตร พร้อมท่ออุดที่ปลายท่อและวางท่อ GS ที่ตำแหน่งผ่านทาง</t>
  </si>
  <si>
    <t>ให้พ้นได้ จำเป็นต้องรื้อถอน  เมื่อดำเนินการวางท่อเรียบร้อยแล้ว ให้ทำการซ่อมแซมสิ่งที่รื้อถอนให้</t>
  </si>
  <si>
    <t xml:space="preserve">อยู่ในสภาพคงเดิม และปรับสภาพพื้นที่ให้เรียบร้อย </t>
  </si>
  <si>
    <t>ขุดดินลึกได้ไม่น้อยกว่า ๐.๓๐ เมตร หรือถ้ายังทำไม่ได้อีกให้ผู้รับจ้างเปลี่ยนเป็นท่อ GS.  โดยมีขนาด</t>
  </si>
  <si>
    <t>เท่าเดิม วางบนพื้นดินพร้อมทำฐานคอนกรีตเสริมเหล็กรองรับท่อขนาด ๐.๒๐ x ๐.๔๐ x ๐.๒๐ เมตร</t>
  </si>
  <si>
    <t>เสริมเหล็กเส้นกลมยึดคอนกรีตกับพื้นดินขนาด ๙ มม. ทุกๆ ระยะห่าง ๒.๐๐ เมตร</t>
  </si>
  <si>
    <t>เพื่อให้งานราชการสำเร็จลุล่วงตามแผนงานที่วางไว้ และเป็นประโยชน์ต่อประชาชนผู้ใช้น้ำ สามารถ</t>
  </si>
  <si>
    <t>เปลี่ยนแปลงได้ตามความเหมาะสมของพื้นที่ โดยขึ้นอยู่กับดุลยพินิจของผู้ควบคุมงานการก่อสร้างและ</t>
  </si>
  <si>
    <t>ได้รับความเห็นชอบจากคณะกรรมการตรวจกการจ้าง โดยค่าใช้จ่ายรวมจะต้องไม่ต่ำกว่าราคาเดิม</t>
  </si>
  <si>
    <t>อากาศ, ประตูน้ำใต้-บนดิน, มาตรวัดน้ำ, ประตูน้ำระบายตะกอน, หัวดับเพลิง และอื่นๆ ให้วางใน</t>
  </si>
  <si>
    <t>ตำแหน่งที่พ้นแนวน้ำท่วมถึง (ในสภาพปกติ) หรือยกขึ้นเหนือพื้นดินตามลักษณะของชิ้นงาน</t>
  </si>
  <si>
    <t>ขนาด dia ๐.๘๐ เมตร หนา ๐.๐๕ เมตร พร้อมฝาปิดคสล.ที่มีขายตามท้องตลาด หรือติดตั้งบ่อครอบ</t>
  </si>
  <si>
    <t>ตามแบบเลขที่ ๙๑๑๐๐๑ โดยก่ออิฐมอญครึ่งแผ่นฉาบปูนเรียบ ขนาด ๐.๗๕ x ๐.๗๕ x ๐.๘๐ เมตร</t>
  </si>
  <si>
    <t xml:space="preserve">พร้อมฝาปิดคสล. ขนาด ๓ - ๐.๒๕ x ๐.๗๕ x ๐.๐๕ เมตร </t>
  </si>
  <si>
    <t>ผู้รับจ้างจะต้องดำเนินการดันลอดท่อปลอกเหล็ก GS ขนาดโตกว่าท่อเมนเดิม ๒ นิ้ว โดยวิธีที่ไม่ทำ</t>
  </si>
  <si>
    <t>ให้ถนนได้รับความเสียหาย และลอดผ่านถนนออกมาข้างละไม่น้อยกว่า ๑.๐๐ เมตร เมื่อดำเนินการ</t>
  </si>
  <si>
    <t>มีค่าระดับสูงกว่าที่ตั้งระบบประปา  จุดที่สูงที่สุดของแต่ละด้าน อย่างน้อย ๑ จุด พร้อมทำบ่อครอบ</t>
  </si>
  <si>
    <t xml:space="preserve">คสล. หรือ จุดที่ยกระดับกระทันหัน ได้แก่ เสา คสล. รับท่อ หรือ สะพาน หรือ ขึ้นเนินเขาสูง </t>
  </si>
  <si>
    <t xml:space="preserve">ไม่น้อยกว่า ๓ นิ้ว ในเขตพื้นที่ชุมชน หรือ สถานที่ราชการ หรือ ที่คิดว่าเสี่ยงต่อการเกิดไฟใหม้ </t>
  </si>
  <si>
    <t>การสูบจ่ายน้ำประปา เพื่อตรวจสอบการรั่วซึม การอุดตันของเส้นท่อ การไหลของน้ำจนเป็นที่พอใจ</t>
  </si>
  <si>
    <t>ของคณะกรรมการตรวจการจ้าง และผู้ควบคุมงาน</t>
  </si>
  <si>
    <t xml:space="preserve">๔ เมตร ชั้นคุณภาพ ๘.๕ แบบปลายเรียบได้  โดยไม่ถือว่าเปลี่ยนแปลงรายการ และไม่ต้องคิด </t>
  </si>
  <si>
    <t>๓.๑๖.๑ วางท่อ PVC. ลึกกว่าระดับดินเดิมประมาณ ๐.๔-๐.๖ เมตร พร้อมต่อท่อแยกออกจากสามทางลด</t>
  </si>
  <si>
    <t>๓.๑๖.๒ กรณีที่ผ่านสิ่งกีดขวาง ได้แก่ ถนนคอนกรีต, กำแพง, รั้ว, ทางเท้า หรืออื่นๆ ที่ไม่สามารถหลบหลีก</t>
  </si>
  <si>
    <t>๓.๑๖.๓ กรณีที่เจอดินแข็งหรือหินไม่สามารถขุดดินวางท่อ PVC. ตามระดับความลึกที่กำหนดได้ ให้ผู้รับจ้าง</t>
  </si>
  <si>
    <t xml:space="preserve">๓.๑๖.๔ แนวท่อ ตำแหน่ง ขนาดและความลึกของท่อจ่ายน้ำ ในกรณีที่ไม่สามารถกระทำตามแบบแปลนได้ </t>
  </si>
  <si>
    <t>๓.๑๖.๕ ผู้รับจ้างจะต้องวางท่อจ่ายน้ำประปาตามขนาดและความยาวไม่น้อยกว่านี้</t>
  </si>
  <si>
    <t>๓.๑๖.๖ การติดตั้งอุปกรณ์ประปา ตามแบบเลขที่ ๙๑๑๐๐๑ ได้แก่ ประตูน้ำทองเหลือง, ประตูน้ำระบาย</t>
  </si>
  <si>
    <t>๓.๑๖.๗ ในการติดตั้งประตูน้ำทองเหลือง ขนาดให้ใช้เท่ากับเมนท่อจ่ายน้ำผ่าน ติดตั้งภายในบ่อครอบ คสล.</t>
  </si>
  <si>
    <t>๓.๑๖.๘ การเดินท่อผ่านถนนคอนกรีตเสริมเหล็ก หรือถนนลาดยาง ในกรณีที่เจ้าของพื้นที่ไม่ให้รื้อถอน</t>
  </si>
  <si>
    <t>๓.๑๖.๙ ให้ติดตั้งอุปกรณ์ประปาประตูน้ำระบายอากาศ ตามแบบเลขที่ ๙๑๑๐๐๑ ในตำแหน่งท่อจ่ายน้ำที่</t>
  </si>
  <si>
    <t>๓.๑๖.๑๑ ให้ติดตั้งอุปกรณ์ประปา ก๊อกน้ำดับเพลิง ตามแบบเลขที่ ๙๑๑๐๐๑ ในตำแหน่งท่อจ่ายน้ำขนาด</t>
  </si>
  <si>
    <t>๓.๑๖.๑๒ เมื่อดำเนินการวางท่อจ่ายน้ำประปาพร้อมอุปกรณ์แล้วเสร็จทั้งหมด ผู้รับจ้างต้องทำการทดสอบ</t>
  </si>
  <si>
    <t>๓.๑๖.๑๓ ผู้รับจ้างสามารถใช้ท่อ PVC. ยาว ๔ ม. ชั้นคุณภาพ ๘.๕ แบบบานปลาย  แทนท่อ PVC. ยาว</t>
  </si>
  <si>
    <r>
      <t>๒.๑</t>
    </r>
    <r>
      <rPr>
        <sz val="16"/>
        <rFont val="TH SarabunIT๙"/>
        <family val="2"/>
      </rPr>
      <t xml:space="preserve">  ผู้รับจ้างต้องดำเนินการก่อสร้างระบบประปาหมู่บ้าน</t>
    </r>
  </si>
  <si>
    <r>
      <t>๒.๒</t>
    </r>
    <r>
      <rPr>
        <sz val="16"/>
        <rFont val="TH SarabunIT๙"/>
        <family val="2"/>
      </rPr>
      <t xml:space="preserve">  แบบแปลนที่ใช้ในการก่อสร้างระบบประปาแห่งนี้ ประกอบด้วย</t>
    </r>
  </si>
  <si>
    <r>
      <t>๓.๒.๑</t>
    </r>
    <r>
      <rPr>
        <sz val="16"/>
        <rFont val="TH SarabunIT๙"/>
        <family val="2"/>
      </rPr>
      <t xml:space="preserve"> ผู้รับจ้างทำการทดสอบการรับน้ำหนักบรรทุกของดิน ที่ตำแหน่งก่อสร้างระบบประปาตามแบบ</t>
    </r>
  </si>
  <si>
    <r>
      <t>หากการทดสอบ ปรากฎว่า ดินสามารถรับน้ำหนักบรรทุกประลัย</t>
    </r>
    <r>
      <rPr>
        <u/>
        <sz val="16"/>
        <rFont val="TH SarabunIT๙"/>
        <family val="2"/>
      </rPr>
      <t xml:space="preserve"> </t>
    </r>
    <r>
      <rPr>
        <b/>
        <u/>
        <sz val="16"/>
        <rFont val="TH SarabunIT๙"/>
        <family val="2"/>
      </rPr>
      <t>ได้มากกว่า</t>
    </r>
    <r>
      <rPr>
        <sz val="16"/>
        <rFont val="TH SarabunIT๙"/>
        <family val="2"/>
      </rPr>
      <t xml:space="preserve"> ที่ระบุ</t>
    </r>
  </si>
  <si>
    <r>
      <t xml:space="preserve">ให้ผู้รับจ้างก่อสร้างสิ่งก่อสร้างดังกล่าว </t>
    </r>
    <r>
      <rPr>
        <u/>
        <sz val="16"/>
        <rFont val="TH SarabunIT๙"/>
        <family val="2"/>
      </rPr>
      <t xml:space="preserve">แบบไม่ตอกเสาเข็ม </t>
    </r>
    <r>
      <rPr>
        <sz val="16"/>
        <rFont val="TH SarabunIT๙"/>
        <family val="2"/>
      </rPr>
      <t>และต้องคืนเงินค่าเสาเข็มให้แก่ผู้ว่าจ้าง</t>
    </r>
  </si>
  <si>
    <r>
      <t xml:space="preserve">หากการทดสอบ ปรากฎว่า ดินสามารถรับน้ำหนักบรรทุกปลอดภัย </t>
    </r>
    <r>
      <rPr>
        <b/>
        <u/>
        <sz val="16"/>
        <rFont val="TH SarabunIT๙"/>
        <family val="2"/>
      </rPr>
      <t>ได้น้อยกว่า</t>
    </r>
    <r>
      <rPr>
        <sz val="16"/>
        <rFont val="TH SarabunIT๙"/>
        <family val="2"/>
      </rPr>
      <t xml:space="preserve"> ที่ระบุนี้</t>
    </r>
  </si>
  <si>
    <r>
      <t xml:space="preserve">ให้ผู้รับจ้างก่อสร้างสิ่งก่อสร้าง </t>
    </r>
    <r>
      <rPr>
        <u/>
        <sz val="16"/>
        <rFont val="TH SarabunIT๙"/>
        <family val="2"/>
      </rPr>
      <t>แบบตอกเสาเข็ม</t>
    </r>
    <r>
      <rPr>
        <sz val="16"/>
        <rFont val="TH SarabunIT๙"/>
        <family val="2"/>
      </rPr>
      <t xml:space="preserve"> ตามรายละเอียดดังต่อไปนี้</t>
    </r>
  </si>
  <si>
    <r>
      <t xml:space="preserve">ความยาวเสาเข็ม </t>
    </r>
    <r>
      <rPr>
        <u/>
        <sz val="16"/>
        <rFont val="TH SarabunIT๙"/>
        <family val="2"/>
      </rPr>
      <t>เท่ากับ ๖.๐๐ เมตร</t>
    </r>
    <r>
      <rPr>
        <sz val="16"/>
        <rFont val="TH SarabunIT๙"/>
        <family val="2"/>
      </rPr>
      <t xml:space="preserve">  ผู้รับจ้าง </t>
    </r>
    <r>
      <rPr>
        <u/>
        <sz val="16"/>
        <rFont val="TH SarabunIT๙"/>
        <family val="2"/>
      </rPr>
      <t>ไม่ต้องคืนเงิน</t>
    </r>
    <r>
      <rPr>
        <sz val="16"/>
        <rFont val="TH SarabunIT๙"/>
        <family val="2"/>
      </rPr>
      <t xml:space="preserve"> ค่าเสาเข็ม/ค่าตอก</t>
    </r>
  </si>
  <si>
    <r>
      <t xml:space="preserve">ความยาวเสาเข็ม </t>
    </r>
    <r>
      <rPr>
        <u/>
        <sz val="16"/>
        <rFont val="TH SarabunIT๙"/>
        <family val="2"/>
      </rPr>
      <t>น้อยกว่า ๖.๐๐ เมตร</t>
    </r>
    <r>
      <rPr>
        <sz val="16"/>
        <rFont val="TH SarabunIT๙"/>
        <family val="2"/>
      </rPr>
      <t xml:space="preserve">  ผู้รับจ้าง </t>
    </r>
    <r>
      <rPr>
        <u/>
        <sz val="16"/>
        <rFont val="TH SarabunIT๙"/>
        <family val="2"/>
      </rPr>
      <t>ต้องคืนเงิน</t>
    </r>
    <r>
      <rPr>
        <sz val="16"/>
        <rFont val="TH SarabunIT๙"/>
        <family val="2"/>
      </rPr>
      <t xml:space="preserve"> ค่าเสาเข็ม/ค่าตอก</t>
    </r>
  </si>
  <si>
    <r>
      <t xml:space="preserve">กรณีวิศวกรรับรองผลกำหนดความยาวเสาเข็ม </t>
    </r>
    <r>
      <rPr>
        <u/>
        <sz val="16"/>
        <rFont val="TH SarabunIT๙"/>
        <family val="2"/>
      </rPr>
      <t>มากกว่า</t>
    </r>
    <r>
      <rPr>
        <sz val="16"/>
        <rFont val="TH SarabunIT๙"/>
        <family val="2"/>
      </rPr>
      <t xml:space="preserve"> ที่ระบุไว้ในแบบมาตรฐาน</t>
    </r>
  </si>
  <si>
    <r>
      <t xml:space="preserve">ดำเนินการก่อสร้าง </t>
    </r>
    <r>
      <rPr>
        <u/>
        <sz val="16"/>
        <rFont val="TH SarabunIT๙"/>
        <family val="2"/>
      </rPr>
      <t>โดยผู้รับจ้างต้องเป็นผู้รับผิดชอบค่าใช้จ่ายต่างๆ ในส่วนที่เพิ่มขึ้น</t>
    </r>
  </si>
  <si>
    <r>
      <t>ทั้งหมด</t>
    </r>
    <r>
      <rPr>
        <sz val="16"/>
        <rFont val="TH SarabunIT๙"/>
        <family val="2"/>
      </rPr>
      <t xml:space="preserve"> ทั้งนี้ผู้รับจ้างจะเรียกร้องค่าใช้จ่ายเพิ่มเติมมิได้ </t>
    </r>
  </si>
  <si>
    <r>
      <t>ผู้รับจ้างจะต้องดำเนินการทดสอบปริมาณน้ำ</t>
    </r>
    <r>
      <rPr>
        <sz val="16"/>
        <rFont val="TH SarabunIT๙"/>
        <family val="2"/>
      </rPr>
      <t xml:space="preserve">  และวิเคราะห์คุณภาพน้ำดิบจากบ่อบาดาล ขนาด dia ๖ นิ้ว</t>
    </r>
  </si>
  <si>
    <r>
      <t>รั้วและประตูรั้ว</t>
    </r>
    <r>
      <rPr>
        <sz val="16"/>
        <rFont val="TH SarabunIT๙"/>
        <family val="2"/>
      </rPr>
      <t xml:space="preserve"> ตามแบบเลขที่ ๙๒๑๐๐๑ จำนวน ๑ แห่ง ผู้รับจ้างจะต้องดำเนินการก่อสร้างรั้ว, ประตูรั้ว</t>
    </r>
  </si>
  <si>
    <r>
      <t>ป้ายการประปา</t>
    </r>
    <r>
      <rPr>
        <sz val="16"/>
        <rFont val="TH SarabunIT๙"/>
        <family val="2"/>
      </rPr>
      <t xml:space="preserve">  ตามแบบเลขที่ ๙๒๑๐๐๑  จำนวน ๑ ป้าย  ผู้รับจ้างจะต้องดำเนินการก่อสร้างป้ายการ</t>
    </r>
  </si>
  <si>
    <r>
      <t>ระบบท่อส่งน้ำดิบ</t>
    </r>
    <r>
      <rPr>
        <sz val="16"/>
        <rFont val="TH SarabunIT๙"/>
        <family val="2"/>
      </rPr>
      <t xml:space="preserve"> ตามแบบเลขที่.......</t>
    </r>
  </si>
  <si>
    <r>
      <t>เครื่องสูบน้ำดิบพร้อมอุปกรณ์ควบคุม</t>
    </r>
    <r>
      <rPr>
        <sz val="16"/>
        <rFont val="TH SarabunIT๙"/>
        <family val="2"/>
      </rPr>
      <t xml:space="preserve"> จำนวน ๑ ชุด   ผู้รับจ้างจะต้องจัดหา และติดตั้งเครื่องสูบน้ำดิบ</t>
    </r>
  </si>
  <si>
    <r>
      <t>ลบ.ม./ชม.(m</t>
    </r>
    <r>
      <rPr>
        <vertAlign val="superscript"/>
        <sz val="16"/>
        <rFont val="TH SarabunIT๙"/>
        <family val="2"/>
      </rPr>
      <t>๓</t>
    </r>
    <r>
      <rPr>
        <sz val="16"/>
        <rFont val="TH SarabunIT๙"/>
        <family val="2"/>
      </rPr>
      <t>/hr.)</t>
    </r>
  </si>
  <si>
    <r>
      <t>หมายเหตุ</t>
    </r>
    <r>
      <rPr>
        <sz val="16"/>
        <rFont val="TH SarabunIT๙"/>
        <family val="2"/>
      </rPr>
      <t xml:space="preserve"> ในกรณีที่เป็นมอเตอร์ ๓ เฟส ๓๘๐ โวลท์ ไม่ต้องจัดหาข้อ ๓.๙.๒.๔ (๕)</t>
    </r>
  </si>
  <si>
    <r>
      <t xml:space="preserve">ถมดิน  </t>
    </r>
    <r>
      <rPr>
        <sz val="16"/>
        <rFont val="TH SarabunIT๙"/>
        <family val="2"/>
      </rPr>
      <t>ผู้รับจ้างต้องดำเนินการจัดหาดินมาถมที่บริเวณที่ตั้งระบบประปาให้ได้ความสูงประมาณ ๐.๐๐-</t>
    </r>
  </si>
  <si>
    <t>๒.๒ จัดหาและส่งมอบเครื่องมือประจำการประปา จำนวน ๑ ชุด</t>
  </si>
  <si>
    <t xml:space="preserve">๒.๓ จัดหาและส่งมอบเครื่องมือตรวจวัด จำนวน ๑ ชุด </t>
  </si>
  <si>
    <t xml:space="preserve">จัดหาและส่งมอบเครื่องมือตรวจวัด  </t>
  </si>
  <si>
    <t xml:space="preserve">จัดหาและส่งมอบเครื่องมือประจำการประปา   </t>
  </si>
  <si>
    <t>สรุปรายละเอียดการแบ่งงวดงาน………………………………..</t>
  </si>
  <si>
    <t>% งวด</t>
  </si>
  <si>
    <t>% งาน</t>
  </si>
  <si>
    <t xml:space="preserve">ประเภทงานอาคาร, โครงสร้างคอนกรีตเสริมเหล็ก และสาธารณูปโภค  </t>
  </si>
  <si>
    <t xml:space="preserve">รวมค่าก่อสร้าง, (%) ของงวดงาน </t>
  </si>
  <si>
    <t xml:space="preserve">ระยะเวลานับจากวันเริ่มสัญญาก่อสร้าง (วัน) </t>
  </si>
  <si>
    <t>งวดงานที่ ๑ ( ๖๐ วัน)</t>
  </si>
  <si>
    <t>ค่างาน(บาท)</t>
  </si>
  <si>
    <t>เอกสารหมายเลข.......................</t>
  </si>
  <si>
    <t>รายละเอียดการแบ่งงวดงาน</t>
  </si>
  <si>
    <t>ชื่อโครงการ</t>
  </si>
  <si>
    <t>ระยะเวลาดำเนินงาน.........</t>
  </si>
  <si>
    <t>วัน  ซึ่งผู้ว่าจ้างตกลงจ้างและผู้รับจ้างตกลงรับเงินค่าจ้าง</t>
  </si>
  <si>
    <t>เป็นจำนวนเงิน.........</t>
  </si>
  <si>
    <t>บาท (.............</t>
  </si>
  <si>
    <t>ซึ่งได้รวมภาษีมูลค่าเพิ่ม ตลอดจนค่าภาษีอากรอื่นๆ ทั้งปวงด้วยแล้ว โดยถือราคาเหมารวมเป็นเกณฑ์ และกำหนด</t>
  </si>
  <si>
    <t xml:space="preserve">การจ่ายเงินเป็นงวดๆ  ดังนี้ </t>
  </si>
  <si>
    <t>เป็นเงิน........</t>
  </si>
  <si>
    <t xml:space="preserve">.................................) </t>
  </si>
  <si>
    <t>๑.๑ งานอาคาร, งานโครงสร้างคอนกรีตเสริมเหล็ก และงานสาธารณูปโภค</t>
  </si>
  <si>
    <t>......................</t>
  </si>
  <si>
    <t>บาท (.....................................................................</t>
  </si>
  <si>
    <t xml:space="preserve">..........................................) </t>
  </si>
  <si>
    <t xml:space="preserve">แล้วเสร็จ </t>
  </si>
  <si>
    <t xml:space="preserve">เมื่อผู้รับจ้างได้ทำการทดสอบดินแล้วเสร็จ  โดยส่งรายงานผลการเจาะสำรวจชั้นดิน จำนวน ๓ เล่ม, </t>
  </si>
  <si>
    <t>ตัวอย่างกรวดกรอง-ทรายกรองน้ำ ตัวอย่างละ ๑ กิโลกรัม พร้อมทั้งแคตตาล็อกรายละเอียดของเครื่อง</t>
  </si>
  <si>
    <t>....................</t>
  </si>
  <si>
    <r>
      <t>งวดที่ ๒</t>
    </r>
    <r>
      <rPr>
        <sz val="16"/>
        <rFont val="TH SarabunIT๙"/>
        <family val="2"/>
      </rPr>
      <t xml:space="preserve"> จะจ่ายเงินให้ร้อยละ ๓๕ ของราคาค่าก่อสร้างแต่ต้องไม่เกินราคากลางที่ทางราชการประมาณการไว้ </t>
    </r>
  </si>
  <si>
    <t>๒.๑ งานอาคาร, งานโครงสร้างคอนกรีตเสริมเหล็ก และงานสาธารณูปโภค</t>
  </si>
  <si>
    <t>...................</t>
  </si>
  <si>
    <t xml:space="preserve">.......................................) </t>
  </si>
  <si>
    <t>เมื่อผู้รับจ้างได้ทำการก่อสร้างบ่อบาดาล PVC. แล้วเสร็จทั้งหมด เรียบร้อย ถูกต้อง ครบถ้วน</t>
  </si>
  <si>
    <t xml:space="preserve">..................................) </t>
  </si>
  <si>
    <t>๓.๑ งานอาคาร, งานโครงสร้างคอนกรีตเสริมเหล็ก และงานสาธารณูปโภค</t>
  </si>
  <si>
    <t>.....................</t>
  </si>
  <si>
    <t>บาท (.......................................................................</t>
  </si>
  <si>
    <t xml:space="preserve">................................) </t>
  </si>
  <si>
    <t xml:space="preserve">ตามแบบแปลน รายละเอียดเฉพาะแห่ง และคำชี้แจงประกอบแบบแปลนทุกประการ </t>
  </si>
  <si>
    <t>เมื่อผู้รับจ้างได้ทำการก่อสร้างอาคารป้ายการประปาแล้วเสร็จทั้งหมด เรียบร้อย ถูกต้อง ครบถ้วน</t>
  </si>
  <si>
    <t xml:space="preserve">เมื่อผู้รับจ้างได้ทำการจัดหาและประสานท่อระหว่างระบบแล้วเสร็จทั้งหมด เรียบร้อย ถูกต้อง </t>
  </si>
  <si>
    <t xml:space="preserve">ครบถ้วนตามแบบแปลน รายละเอียดเฉพาะแห่ง และคำชี้แจงประกอบแบบแปลนทุกประการ </t>
  </si>
  <si>
    <t>เมื่อผู้รับจ้างได้ทำการจัดหาและประสานท่อพร้อมอุปกรณ์ จากเครื่องสูบน้ำดิบ แบบซับเมิสซิเบิ้ล เข้า</t>
  </si>
  <si>
    <t>กับท่อส่งน้ำดิบ แล้วเสร็จทั้งหมด เรียบร้อย ถูกต้อง ครบถ้วนตามแบบแปลน รายละเอียดเฉพาะแห่ง</t>
  </si>
  <si>
    <t xml:space="preserve">และคำชี้แจงประกอบแบบแปลนทุกประการ </t>
  </si>
  <si>
    <t xml:space="preserve">รายละเอียดเฉพาะแห่ง และคำชี้แจงประกอบแบบแปลนทุกประการ </t>
  </si>
  <si>
    <t>เมื่อผู้รับจ้างได้ทำการปรับสภาพพื้นที่แล้วเสร็จทั้งหมด เรียบร้อย ถูกต้อง ครบถ้วนตามแบบแปลน</t>
  </si>
  <si>
    <t xml:space="preserve">ครบถ้วน ตามแบบแปลน รายละเอียดเฉพาะแห่ง และคำชี้แจงประกอบแบบแปลนทุกประการ </t>
  </si>
  <si>
    <t>เมื่อผู้รับจ้างได้ทำการก่อสร้างอาคารในส่วนที่เหลือทั้งหมดแล้วเสร็จ เรียบร้อย ถูกต้อง ครบถ้วน</t>
  </si>
  <si>
    <t>เมื่อผู้รับจ้างได้ทำการจัดหาและวางท่อส่งน้ำดิบแล้วเสร็จทั้งหมด เรียบร้อย ถูกต้อง ครบถ้วนตามแบบ</t>
  </si>
  <si>
    <t xml:space="preserve">แปลน รายละเอียดเฉพาะแห่ง และคำชี้แจงประกอบแบบแปลนทุกประการ </t>
  </si>
  <si>
    <t>เมื่อผู้รับจ้างได้ทำการจัดหาและวางท่อจ่ายน้ำประปาแล้วเสร็จทั้งหมด เรียบร้อย ถูกต้อง ครบถ้วน</t>
  </si>
  <si>
    <t>๓.๒ งานครุภัณฑ์จัดซื้อหรือสั่งซื้อ</t>
  </si>
  <si>
    <t xml:space="preserve">......................................) </t>
  </si>
  <si>
    <t>โดยผ่านคณะกรรมการตรวจการจ้างตรวจสอบ และให้ความเห็นชอบแล้วเสร็จ เรียบร้อย ถูกต้อง</t>
  </si>
  <si>
    <t xml:space="preserve">ครบถ้วนตามรายการรายละเอียดเฉพาะแห่ง และคำชี้แจงประกอบแบบแปลนทุกประการ </t>
  </si>
  <si>
    <t>เมื่อผู้รับจ้างได้ทำการจัดหาและส่งมอบเครื่องมือตรวจวัดสารละลายเหล็กในน้ำพร้อมสารเคมี จำนวน</t>
  </si>
  <si>
    <t>๑ ชุด, เครื่องมือตรวจวัดความเป็นกรด-ด่างในน้ำพร้อมสารเคมี จำนวน ๑ ชุด ให้แก่ ผู้ผลิตน้ำประปา</t>
  </si>
  <si>
    <t xml:space="preserve">โดยผ่านคณะกรรมการตรวจการจ้างตรวจสอบ  และให้ความเห็นชอบแล้วเสร็จ  เรียบร้อย  ถูกต้อง </t>
  </si>
  <si>
    <t xml:space="preserve">เมื่อผู้รับจ้างได้ทำการขออนุญาตและติดตั้งมิเตอร์ไฟฟ้า ขนาด ๑๕ แอมป์ ๒๒๐ โวท์ลแล้วเสร็จ เรียบร้อย </t>
  </si>
  <si>
    <t xml:space="preserve">ถูกต้อง ครบถ้วนตามแบบแปลน รายละเอียดเฉพาะแห่ง และคำชี้แจงประกอบแบบแปลนทุกประการ </t>
  </si>
  <si>
    <t>ทำการทดสอบการสูบจ่ายน้ำของระบบประปาหมู่บ้านทั้งระบบ ก่อนส่งมอบงานจ้างต่อหน้าคณะกรรมการ</t>
  </si>
  <si>
    <t>ตรวจการจ้าง จนเป็นที่พอใจแก่คณะกรรมการตรวจการจ้าง</t>
  </si>
  <si>
    <t>ทำการก่อสร้างตามรูปแบบ รายการ และสัญญาการก่อสร้างแล้วเสร็จทุกประการ</t>
  </si>
  <si>
    <t>เมื่อผู้รับจ้างได้ปฏิบัติงานก่อสร้างทั้งหมดให้แล้วเสร็จเรียบร้อยตามสัญญา รวมทั้งทำสถานที่ก่อสร้างให้สะอาด</t>
  </si>
  <si>
    <t xml:space="preserve">เรียบร้อย จนเป็นที่พอใจแก่คณะกรรมการตรวจการจ้าง </t>
  </si>
  <si>
    <t xml:space="preserve">(ลงชื่อ).......……................................ผู้แบ่งงวดงาน </t>
  </si>
  <si>
    <t xml:space="preserve">ซึ่งจะแล้วเสร็จภายใน ๖๐ วัน นับถัดจากวันลงนามในสัญญา </t>
  </si>
  <si>
    <t xml:space="preserve">ซึ่งจะแล้วเสร็จภายใน ๑๒๐ วัน นับถัดจากวันลงนามในสัญญา </t>
  </si>
  <si>
    <t>รายการรายละเอียดการแบ่งงวดงาน</t>
  </si>
  <si>
    <t>เงื่อนไขและหลักเกณฑ์</t>
  </si>
  <si>
    <t>1.  สัญญาแบบปรับราคา  ได้นี้ให้ใช้กับงานก่อสร้างทุกประเภท  รวมถึงงานปรับปรุงและซ่อมแซม</t>
  </si>
  <si>
    <t>ซึ่งเบิกจ่ายค่างานในลักษณะ  หมวดค่าครุภัณฑ์  ที่ดินและสิ่งก่อสร้าง  หมวดเงินอุดหนุนและหมวดรายจ่ายอื่นที่เบิกจ่าย</t>
  </si>
  <si>
    <t>ในลักษณะค่าที่ดินและสิ่งก่อสร้าง  ที่อยู่ในเงื่อนไขและหลักเกณฑ์ตามที่ได้กำหนดนี้</t>
  </si>
  <si>
    <t>2.  สัญญาแบบปรับราคาได้นี้ให้ใช้ทั้งในกรณีเพิ่มหรือลดค่างานจากค่างานเดิมตามสัญญา  เมื่อดัชนีราคาซึ่งจัดทำ</t>
  </si>
  <si>
    <t>ขึ้นโดยกระทรวงพาณิชย์  มีการเปลี่ยนแปลงสูงขึ้น  หรือลดลงจากเดิม  ขณะเมื่อวันที่เปิดซองประกวดราคาสำหรับกรณี</t>
  </si>
  <si>
    <t>ที่จัดจ้างโดยวิธีอื่น  ให้ใช้วันเปิดซองราคาแทน</t>
  </si>
  <si>
    <t>3.  การนำสัญญาแบบปรับราคาได้ไปใช้นั้น  ผู้ว่าจ้างต้องแจ้ง  และประกาศให้ผู้รับจ้างทราบ  เช่น  ในประกาศ</t>
  </si>
  <si>
    <t>ประกวดราคาฯ  และต้องระบุในสัญญาจ้างด้วยว่างานจ้างเหมานั้นๆ  จะใช้สัญญาแบบปรับราคาพร้อมทั้งกำหนดประเภท</t>
  </si>
  <si>
    <t>ของงานก่อสร้าง  สูตรและวิธีการคำนวณ  ที่ให้มีการปรับเพิ่มหรือลดค่างานไว้ให้ชัดเจน</t>
  </si>
  <si>
    <r>
      <t>ในกรณีที่มีงานก่อสร้าง</t>
    </r>
    <r>
      <rPr>
        <sz val="16"/>
        <color indexed="10"/>
        <rFont val="TH SarabunIT๙"/>
        <family val="2"/>
      </rPr>
      <t>หลายประเภท</t>
    </r>
    <r>
      <rPr>
        <sz val="16"/>
        <rFont val="TH SarabunIT๙"/>
        <family val="2"/>
      </rPr>
      <t>ในงานจ้างคราวเดียวกัน  จะต้องแยก</t>
    </r>
    <r>
      <rPr>
        <sz val="16"/>
        <color indexed="10"/>
        <rFont val="TH SarabunIT๙"/>
        <family val="2"/>
      </rPr>
      <t>ประเภทงานก่อสร้างแต่ละประเภท</t>
    </r>
    <r>
      <rPr>
        <sz val="16"/>
        <rFont val="TH SarabunIT๙"/>
        <family val="2"/>
      </rPr>
      <t>ให้</t>
    </r>
  </si>
  <si>
    <t>ชัดเจนตามลักษณะของงานก่อสร้างนั้นๆ  และให้สอดคล้องกับสูตรที่กำหนดไว้</t>
  </si>
  <si>
    <t>4.  การขอเงินเพิ่มค่างานก่อสร้างตามสัญญาแบบปรับราคาได้นี้  เป็นหน้าที่ของผู้รับจ้างที่จะต้องเรียกร้องภายใน</t>
  </si>
  <si>
    <t>เงินเพิ่มค่างานก่อสร้างจากผู้ว่าจ้างได้อีกต่อไป  และในกรณีที่ผู้ว่าจ้างจะต้องเรียกเงินคืนจากผู้รับจ้าง  ให้ผู้ว่าจ้างที่เป็นคู่</t>
  </si>
  <si>
    <t>สัญญารีบเรียกเงินคืนจากผู้รับจ้างโดยเร็ว  หรือให้หักค่างานของงวดต่อไป  หรือให้หักเงินจากหลักประกันสัญญา</t>
  </si>
  <si>
    <t>แล้วแต่กรณี</t>
  </si>
  <si>
    <r>
      <t xml:space="preserve">แบบปรับราคาได้  </t>
    </r>
    <r>
      <rPr>
        <sz val="16"/>
        <color indexed="10"/>
        <rFont val="TH SarabunIT๙"/>
        <family val="2"/>
      </rPr>
      <t>ต้องได้รับการตรวจสอบและเห็นชอบจากสำนักงานงบประมาณ</t>
    </r>
    <r>
      <rPr>
        <sz val="16"/>
        <rFont val="TH SarabunIT๙"/>
        <family val="2"/>
      </rPr>
      <t>และให้ถือการพิจารณาวินิจฉัยของ</t>
    </r>
  </si>
  <si>
    <t>สำนักงานงบประมาณเป็นที่สิ้นสุด</t>
  </si>
  <si>
    <r>
      <t xml:space="preserve">ข.  </t>
    </r>
    <r>
      <rPr>
        <b/>
        <u/>
        <sz val="16"/>
        <rFont val="TH SarabunIT๙"/>
        <family val="2"/>
      </rPr>
      <t>ประเภทงานก่อสร้างและสูตรที่ใช้กับสัญญาแบบปรับราคาได้</t>
    </r>
  </si>
  <si>
    <t>ในการพิจารณาเพิ่มหรือลดราคาค่าจ้างเหมาก่อสร้าง  ให้คำนวณตามสูตรดังนี้</t>
  </si>
  <si>
    <t>P  =  (Po) X (K)</t>
  </si>
  <si>
    <t>กำหนดให้</t>
  </si>
  <si>
    <t>P  =  ราคาค่างานต่อหน่วยหรือราคาค่างานเป็นงวดที่จะต้องจ่ายให้ผู้รับจ้าง</t>
  </si>
  <si>
    <t>Po  =  ราคาค่างานต่อหน่วยที่ผู้รับจ้างประมูลได้  หรือราคาค่างานเป็นงวดซึ่ง</t>
  </si>
  <si>
    <t xml:space="preserve">             ระบุไว้ในสัญญาแล้วแต่กรณี</t>
  </si>
  <si>
    <t xml:space="preserve">K  =  ESCALATION  FATOR  ที่หักด้วย  4%  เมื่อต้องเพิ่มค่างานหรือบวกเพิ่ม  4%  </t>
  </si>
  <si>
    <t xml:space="preserve">              เมื่อต้องเรียกค่างานคืน</t>
  </si>
  <si>
    <t>ESCALATION  FATOR    K   หาได้จากสูตร  ซึ่งแบ่งตามประเภทและลักษณะงาน  ดังนี้</t>
  </si>
  <si>
    <t>หมวดที่ 1 งานอาคาร</t>
  </si>
  <si>
    <r>
      <t xml:space="preserve">งานอาคาร </t>
    </r>
    <r>
      <rPr>
        <sz val="16"/>
        <rFont val="TH SarabunIT๙"/>
        <family val="2"/>
      </rPr>
      <t xml:space="preserve"> หมายถึง  ตัวอาคาร  เช่น  ที่ทำการ  โรงเรียน  โรงพยาบาล  หอพัก  ที่พักอาศัย  หอประชุม </t>
    </r>
  </si>
  <si>
    <t>อัฒจันทร์ ยิมเนเซียม  สระว่ายน้ำ  โรงอาหาร  คลังพัสดุ  โรงงานรั้ว  เป็นต้น  และให้หมายความรวมถึง</t>
  </si>
  <si>
    <t>1.1  ไฟฟ้าของอาคารบรรจบถึงสายเมนจำหน่าย  แต่ไม่รวมถึงหม้อแปลงและระบบไฟฟ้าภายในบริเวณ</t>
  </si>
  <si>
    <t>1.2  ประปาของอาคารบรรจบถึงท่อเมนจำหน่าย  แต่ไม่รวมถึงระบบประปาภายในบริเวณ</t>
  </si>
  <si>
    <t>1.3  ระบบท่อหรือระบบสายต่างๆ  ที่ติดหรือฝังอยู่ในส่วนของอาคาร  เช่น  ท่อปรับอากาศ  ท่อก๊าซสายไฟฟ้า</t>
  </si>
  <si>
    <t>สำหรับเครื่องปรับอากาศ  สายล่อฟ้า ฯลฯ</t>
  </si>
  <si>
    <t>1.4  ทางระบายน้ำของอาคารจนถึงทางระบายน้ำภายนอก</t>
  </si>
  <si>
    <t>1.5  ส่วนประกอบที่จำเป็นสำหรับอาคาร  เฉพาะส่วนที่ติดกับอาคารโดยต้องสร้างหรือประกอบพร้อมกับการ</t>
  </si>
  <si>
    <t xml:space="preserve">ก่อสร้างอาคาร  แต่ไม่รวมถึง  เครื่องจักรหรือเครื่องมือกลที่นำมาประกอบหรือติดตั้ง  เช่น  ลิฟท์  เครื่องคอมพิวเตอร์  </t>
  </si>
  <si>
    <t xml:space="preserve">เครื่องสูบน้ำ  เครื่องปรับอากาศ  พัดลม  ฯลฯ  </t>
  </si>
  <si>
    <t xml:space="preserve">1.6  ทางเท้ารอบอาคาร  ดินถม  ดินตัก  ห่างจากอาคารโดยรอบไม่เกิน  3  เมตร  </t>
  </si>
  <si>
    <t>ใช้สูตร  K1 =  0.25 + 0.15 lt/lo + 0.10Ct/Co + 0.40 Mt/Mo + 0.10 St/So</t>
  </si>
  <si>
    <t>หมวดที่ 2 งานดิน</t>
  </si>
  <si>
    <t>โดยในช่องว่างระหว่างหินใหญ่จะแซมด้วยหินย่อยหรือกรวดขนาดต่างๆ  และทรายให้เต็มช่องว่างมีการควบคุมคุณสมบัติ</t>
  </si>
  <si>
    <t>ของวัสดุและมีข้อกำหนดวิธีการปฎิบัติโดยใช้เครื่องจักรเครื่องมือกลหรือแรงคนและให้หมายความรวมถึงงานหินทิ้ง</t>
  </si>
  <si>
    <t>ลำน้ำ</t>
  </si>
  <si>
    <t>ใช้สูตร  K2.2 =  0.40 + 0.20 lt/lo + 0.20 Mt/Mo + 0.20 Ft/Fo</t>
  </si>
  <si>
    <t>หมวดที่ 5 งานระบบสาธารณูปโภค</t>
  </si>
  <si>
    <r>
      <t xml:space="preserve">5.1  </t>
    </r>
    <r>
      <rPr>
        <u/>
        <sz val="16"/>
        <rFont val="TH SarabunIT๙"/>
        <family val="2"/>
      </rPr>
      <t>งานวางท่อ AC  และ  PVC</t>
    </r>
  </si>
  <si>
    <t>5.1.1  ในกรณีที่ผู้ว่าจ้างเป็นผู้จัดหาท่อและหรืออุปกรณ์ให้</t>
  </si>
  <si>
    <t>ใช้สูตร  K5.1.1  =  0.50 + 0.25 lt/lo + 0.25Mt/Mo</t>
  </si>
  <si>
    <t>5.1.2  ในกรณีที่ผู้รับจ้างจัดหาท่อ  AC  และหรืออุปกรณ์</t>
  </si>
  <si>
    <t>ใช้สูตร  K5.1.2  =  0.40 + 0.10 lt/lo + 0.10Mt/Mo + 0.40Act/Aco</t>
  </si>
  <si>
    <t>5.1.3  ในกรณีที่ผู้รับจ้างเป็นผู้จัดหาท่อ  PVC  และหรืออุปกรณ์</t>
  </si>
  <si>
    <t>ใช้สูตร  K5.1.3  =  0.40 + 0.10 lt/lo + 0.10Mt/Mo + 0.40PVCt/PVCo</t>
  </si>
  <si>
    <r>
      <t xml:space="preserve">5.2  </t>
    </r>
    <r>
      <rPr>
        <u/>
        <sz val="16"/>
        <rFont val="TH SarabunIT๙"/>
        <family val="2"/>
      </rPr>
      <t>งานวางท่อเหล็กเหนียวและท่อ  HYDENSITY  POLYETHYLENE</t>
    </r>
  </si>
  <si>
    <t>5.2.1  ในกรณีที่ผู้ว่าจ้างเป็นผู้จัดหาท่อและหรืออุปกรณ์ให้</t>
  </si>
  <si>
    <t>ใช้สูตร  K5.2.1  =  0.40 + 0.10 lt/lo + 0.15Mt/Mo + 0.20Et/Eo + 0.15Ft/Fo</t>
  </si>
  <si>
    <t>5.2.2  ในกรณีที่ผู้รับจ้างเป็นผู้จัดหาท่อเหล็กเหนียวและหรืออุปกรณ์และให้รวมถึงงาน  TRANSMIS-</t>
  </si>
  <si>
    <t>SION  CONDUIT</t>
  </si>
  <si>
    <t>ใช้สูตร  K5.2.2  =  0.40 + 0.10 lt/lo + 0.10Mt/Mo + 0.10Et/Eo + 0.30GIPt/GIPo</t>
  </si>
  <si>
    <t>5.2.3  ในกรณีที่ผู้รับจ้างเป็นผู้จัดหาท่อ  HYDENSITY  POLYETHYLENE  และหรืออุปกรณ์</t>
  </si>
  <si>
    <t>ใช้สูตร  K5.2.3  =  0.50 + 0.10 lt/lo + 0.10Mt/Mo + 0.30Pet/Peo</t>
  </si>
  <si>
    <r>
      <t xml:space="preserve">5.4  </t>
    </r>
    <r>
      <rPr>
        <u/>
        <sz val="16"/>
        <rFont val="TH SarabunIT๙"/>
        <family val="2"/>
      </rPr>
      <t>งานวางท่อ  PVC หุ้มด้วยคอนกรีต</t>
    </r>
  </si>
  <si>
    <t>ใช้สูตร  K5.4  =  0.30 + 0.10 lt/lo + 0.20Ct/Co + 0.05 Mt/Mo + 0.05St/So + 0.30PVCt/PVCo</t>
  </si>
  <si>
    <r>
      <t xml:space="preserve">5.5  </t>
    </r>
    <r>
      <rPr>
        <u/>
        <sz val="16"/>
        <rFont val="TH SarabunIT๙"/>
        <family val="2"/>
      </rPr>
      <t>งานวางท่อ  PVC  กลบทราย</t>
    </r>
  </si>
  <si>
    <t>ใช้สูตร  K5.5  =  0.25 + 0.05 lt/lo +  0.05 Mt/Mo + 0.65PVCt/PVCo</t>
  </si>
  <si>
    <r>
      <t xml:space="preserve">5.6  </t>
    </r>
    <r>
      <rPr>
        <u/>
        <sz val="16"/>
        <rFont val="TH SarabunIT๙"/>
        <family val="2"/>
      </rPr>
      <t>งานวางท่อเหล็กอาบสังกะสี</t>
    </r>
  </si>
  <si>
    <t>ใช้สูตร  K5.6  =  0.25 + 0.25 lt/lo +  0.50GIPt/GIPo</t>
  </si>
  <si>
    <r>
      <t xml:space="preserve">5.8  </t>
    </r>
    <r>
      <rPr>
        <u/>
        <sz val="16"/>
        <rFont val="TH SarabunIT๙"/>
        <family val="2"/>
      </rPr>
      <t>งานหล่อและตอกเสาเข็มคอนกรีตอัดแรง</t>
    </r>
  </si>
  <si>
    <r>
      <t xml:space="preserve">5.8.1 </t>
    </r>
    <r>
      <rPr>
        <u/>
        <sz val="16"/>
        <rFont val="TH SarabunIT๙"/>
        <family val="2"/>
      </rPr>
      <t xml:space="preserve"> งานเสาเข็มคอนกรีตอัดแรง</t>
    </r>
  </si>
  <si>
    <t xml:space="preserve">ใช้สูตร  K5.8.1  =  0.35 + 0.15 lt/lo + 0.20Ct/Co + 0.30St/So </t>
  </si>
  <si>
    <r>
      <t xml:space="preserve">5.8.2  </t>
    </r>
    <r>
      <rPr>
        <u/>
        <sz val="16"/>
        <rFont val="TH SarabunIT๙"/>
        <family val="2"/>
      </rPr>
      <t>งานเสาเข็มแบบ  CAST IN PLACE</t>
    </r>
  </si>
  <si>
    <t xml:space="preserve">ใช้สูตร  K5.8.2  =  0.30 + 0.10 lt/lo + 0.25Ct/Co + 0.35St/So </t>
  </si>
  <si>
    <t>ดัชนีราคาที่ใช้คำนวณตามสูตรที่ใช้กับสัญญาแบบปรับราคาได้  จัดทำขึ้นโดยกระทรวงพาณิชย์</t>
  </si>
  <si>
    <t>K     =  ESCALATION  FACTOR</t>
  </si>
  <si>
    <t>lt     =  ดัชนีราคาผู้บริโภคทั่วไปของประเทศ  ในเดือนที่ส่งงานแต่ละงวด</t>
  </si>
  <si>
    <t>lo     =  ดัชนีราคาของผู้บริโภคของประเทศ  ในเดือนที่เปิดซองประกวดราคา</t>
  </si>
  <si>
    <t>Ct     =  ดัชนีราคาซีเมนต์  ในเดือนที่ส่งงานแต่ละงวด</t>
  </si>
  <si>
    <t>Co    =  ดัชนีราคาซีเมนต์  ในเดือนที่เปิดซองประกวดราคา</t>
  </si>
  <si>
    <t>Mt    =  ดัชนีราคาวัสดุก่อสร้าง  (ไม่รวมเหล็กและซีเมนต์)  ในเดือนที่ส่งงานแต่ละงวด</t>
  </si>
  <si>
    <t>Mo   =  ดัชนีราคาวัสดุก่อสร้าง  (ไม่รวมเหล็กและซีเมนต์)  ในเดือนที่เปิดซองประกวดราคา</t>
  </si>
  <si>
    <t>St     =   ดัชนีราคาเหล็ก  ในเดือนที่ส่งงานแต่ละงวด</t>
  </si>
  <si>
    <t>So    =   ดัชนีราคาเหล็ก  ในเดือนที่เปิดซองประกวดราคา</t>
  </si>
  <si>
    <t>Gt    =   ดัชนีราคาเหล็กแผ่นเรียบที่ผลิตในประเทศไทย  ในเดือนที่ส่งงานแต่ละงวด</t>
  </si>
  <si>
    <t>Go   =   ดัชนีราคาเหล็กแผ่นเรียบที่ผลิตในประเทศ  ในเดือนที่เปิดซองประกวดราคา</t>
  </si>
  <si>
    <t>At    =  ดัชนีราคาแอสฟัลท์  ในเดือนที่ส่งงานแต่ละงวด</t>
  </si>
  <si>
    <t>Ao   =  ดัชนีราคาแอสฟัลท์  ในเดือนที่เปิดซองประกวดราคา</t>
  </si>
  <si>
    <t>Et     =  ดัชนีราคาเครื่องจักรกลและบริภัณฑ์  ในเดือนที่ส่งงานแต่ละงวด</t>
  </si>
  <si>
    <t>Eo     =  ดัชนีราคาเครื่องจักรกลและบริภัณฑ์  ในเดือนที่เปิดซองประกวดราคา</t>
  </si>
  <si>
    <t>Ft      =  ดัชนีราคาน้ำมันดีเซลหมุนเร็ว  ในเดือนที่ส่งงานแต่ละงวด</t>
  </si>
  <si>
    <t>Fo     =   ดัชนีราคาน้ำมันดีเซลหมุนเร็ว  ในเดือนที่เปิดซองประกวดราคา</t>
  </si>
  <si>
    <t>Act    =   ดัชนีราคาท่อซีเมนต์ใยหิน  ในเดือนที่ส่งงานแต่ละงวด</t>
  </si>
  <si>
    <t>Aco    =  ดัชนีราคาท่อซีเมนต์ใยหิน  ในเดือนที่เปิดซองประกวดราคา</t>
  </si>
  <si>
    <t>PVCt  =  ดัชนีราคาท่อ PVC  ในเดือนที่ส่งงานแต่ละงวด</t>
  </si>
  <si>
    <t>PVCo  =  ดัชนีราคาท่อ PVC  ในเดือนที่เปิดซองประกวดราคา</t>
  </si>
  <si>
    <t>GlPt    =  ดัชนีราคาท่อเหล็กอาบสังกะสี  ในเดือนที่ส่งงานแต่ละงวด</t>
  </si>
  <si>
    <t>GlPo  =  ดัชนีราคาท่อเหล็กอาบสังกะสี  ในเดือนที่เปิดซองประกวดราคา</t>
  </si>
  <si>
    <t>Pet      =  ดัชนีราคาท่อ  HYDENSITY  POLYETHYLENE  ในเดือนที่ส่งงานแต่ละงวด</t>
  </si>
  <si>
    <t>Peo     =   ดัชนีราคาท่อ  HYDENSITY  POLYETHYLENE  ในเดือนที่เปิดซองประกวดราคา</t>
  </si>
  <si>
    <t>Wt      =  ดัชนีราคาสายไฟฟ้า  ในเดือนที่ส่งงานแต่ละงวด</t>
  </si>
  <si>
    <t>Wo     =  ดัชนีราคาสายไฟฟ้า  ในเดือนที่เปิดซองประกวดราคา</t>
  </si>
  <si>
    <t>ค.  วิธีการคำนวณที่ใช้กับสัญญาแบบปรับราคาได้</t>
  </si>
  <si>
    <t xml:space="preserve">1.  การคำนวณค่า  K  จากสูตรตามลักษณะงานนั้น  ๆ  ให้ใช้ตัวเลขดัชนีราคาวัสดุก่อสร้างของกระทรวงพาณิชย์ </t>
  </si>
  <si>
    <t>โดยใช้ฐานของปี  2530  เป็นเกณฑ์ในการคำนวณ</t>
  </si>
  <si>
    <t>แต่ละประเภทให้ชัดเจนตามลักษณะของงานนั้นและให้สอดคล้องกับสูตรที่ได้กำหนดไว้</t>
  </si>
  <si>
    <t>3.  กาคำนวณหาค่า  K  กำหนดให้เลขทศนิยม  3  ตำแหน่งทุกขั้นตอนโดยไม่มีการปัดเศษและกำหนดให้ทำเลข</t>
  </si>
  <si>
    <t>สัมพันธ์  (เปรียบเทียบ)  ให้เป็นผลสำเร็จก่อน  แล้วจึงนำผลลัพธ์ไปคูณกับตัวเลขคงที่หน้าเลขสัมพันธ์  นั้น</t>
  </si>
  <si>
    <t>งานก่อสร้างนั้นๆ ในเดือนที่ส่งมอบงานที่มีค่าเปลี่ยนแปลงไปจากค่า  K  ในเดือนเปิดซองราคามากกว่า 4%  ขึ้นไป  โดย</t>
  </si>
  <si>
    <t xml:space="preserve">นำเฉพาะส่วนที่เกิน  4%  มาคำนวณปรับเพิ่มหรือลดค่างานแล้วแต่กรณี  (โดยไม่คิด  4% แรกให้)  </t>
  </si>
  <si>
    <t>5.  ในกรณีที่ผู้รับจ้างไม่สามารถทำการก่อสร้างให้แล้วเสร็จตามระยะเวลาในสัญญ่า  โดยเป็นความผิดของผู้รับจ้าง</t>
  </si>
  <si>
    <t>ค่า K ตามสูตรต่างๆ ที่จะนำมาใช้ในการคำนวณค่างานให้ใช้ค่า K  ของเดือนสุดท้ายตามอายุสัญญา หรือค่า K ของเดือน</t>
  </si>
  <si>
    <t>ที่ส่งมอบงานจริง  แล้วแต่ว่าค่า K ตัวใดจะมีค่าน้อยกว่า</t>
  </si>
  <si>
    <t>6.  การจ่ายเงินแต่ละงวดให้จ่ายค่าจ้างงานที่ผู้รับจ้างทำได้แต่ละงวดตามสัญญาไปก่อนส่วนค่างานเพิ่มหรือค่างาน</t>
  </si>
  <si>
    <t xml:space="preserve">ลดลงซึ่งจะคำนวณได้ต่อเมื่อทราบดัชนีราคาวัสดุก่อสร้างซึ่งนำมาคำนาณหาค่า  K  ของเดือนที่ส่งมอบงวดนั้น ๆ เป็นที่ </t>
  </si>
  <si>
    <t>แน่นอนแล้ว  เมื่อคำนวณเงินเพิ่มได้ให้ขอทำความตกลงเรื่องการเงินกับสำนักงบประมาณ</t>
  </si>
  <si>
    <t>...................................................................</t>
  </si>
  <si>
    <t>เงื่อนไข หลักเกณฑ์ ประเภทงานก่อสร้าง สูตรและวิธีการคำนวณที่ใช้กับสัญญาแบบปรับราคาได้</t>
  </si>
  <si>
    <t>กำหนด 90 วัน  นับตั้งแต่วันที่ผู้รับจ้างได้ส่งมอบงานงวดสุดท้าย  หากพ้นกำหนดนี้ไปแล้วผู้รับจ้างไม่มีสิทธิที่จะเรียกร้อง</t>
  </si>
  <si>
    <t>5.  การพิจารณาคำนวนเงินเพิ่มหรือลด และการจ่ายเงินเพิ่มหรือเรียกเงินคืนจากผู้รับจ้าง  ตามเงื่อนไขของสัญญา</t>
  </si>
  <si>
    <r>
      <t xml:space="preserve">2.2 </t>
    </r>
    <r>
      <rPr>
        <u/>
        <sz val="16"/>
        <rFont val="TH SarabunIT๙"/>
        <family val="2"/>
      </rPr>
      <t xml:space="preserve"> งานหินเรียง</t>
    </r>
    <r>
      <rPr>
        <sz val="16"/>
        <rFont val="TH SarabunIT๙"/>
        <family val="2"/>
      </rPr>
      <t xml:space="preserve"> หมายถึง งานหินขนาดใหญ่ที่นำมาเรียงกันเป็นชั้นหินให้เป็นระเบียบ จนได้ความหนาที่ต้องการ</t>
    </r>
  </si>
  <si>
    <t>งานหินเรียวยาแนว หรืองานหินใหญ่ ที่มีลักษณะคล้ายคลึงกัน เพื่อการป้องกันการกัดเซาะพังทลายของลาดตลิ่งและท้อง</t>
  </si>
  <si>
    <t>2.  การคำนวณค่า K สำหรับกรณีที่มีงานก่อสร้างหลายประเภทรวมอยู่ในสัญญาเดียงกันจะต้องแยกค่างานก่อสร้าง</t>
  </si>
  <si>
    <t>4.  ให้พิจารณาเงินเพิ่มหรือลดราคาค่างานจากราคาที่ผู้รับจ้างทำสัญญาตกลงกับผู้ว่าจ้างเมื่อค่า K ตามสูตรสำหรับ</t>
  </si>
  <si>
    <t>๑.๑ ป้ายการประปา จำนวน ๑ ป้าย  แบบเลขที่ ๙๒๑๐๐๑</t>
  </si>
  <si>
    <r>
      <t>ค่าใช้จ่ายในการพิมพ์แบบเพิ่มเติม,ทำ</t>
    </r>
    <r>
      <rPr>
        <sz val="10"/>
        <rFont val="TH SarabunIT๙"/>
        <family val="2"/>
      </rPr>
      <t>SHOP DRAWING ฯ</t>
    </r>
  </si>
  <si>
    <r>
      <t xml:space="preserve">       %</t>
    </r>
    <r>
      <rPr>
        <sz val="14"/>
        <rFont val="TH SarabunIT๙"/>
        <family val="2"/>
      </rPr>
      <t xml:space="preserve"> ของค่างาน</t>
    </r>
  </si>
  <si>
    <r>
      <t>หมายเหตุ</t>
    </r>
    <r>
      <rPr>
        <b/>
        <sz val="12"/>
        <rFont val="TH SarabunIT๙"/>
        <family val="2"/>
      </rPr>
      <t xml:space="preserve">  กรณีค่างานอยู่ระหว่างช่วงของค่างานต้นทุนที่กำหนด ให้เทียบอัตราส่วนเพื่อหาค่า FACTOR  F</t>
    </r>
  </si>
  <si>
    <r>
      <t xml:space="preserve">          ค่าใช้จ่ายในการดำเนินโครงการก่อสร้าง</t>
    </r>
    <r>
      <rPr>
        <sz val="14"/>
        <rFont val="TH SarabunIT๙"/>
        <family val="2"/>
      </rPr>
      <t xml:space="preserve">  ประกอบด้วย</t>
    </r>
  </si>
  <si>
    <t xml:space="preserve">                                                                  </t>
  </si>
  <si>
    <t xml:space="preserve">                                     </t>
  </si>
  <si>
    <t xml:space="preserve">                   </t>
  </si>
  <si>
    <t xml:space="preserve">                          </t>
  </si>
  <si>
    <t xml:space="preserve">                    </t>
  </si>
  <si>
    <t xml:space="preserve">                                                                                                      </t>
  </si>
  <si>
    <t xml:space="preserve">                                        </t>
  </si>
  <si>
    <t>ที่ทำการก่อสร้าง (ผัง)  โดยช่างผู้ควบคุมงานต้องตรวจสอบค่าระดับนี้ให้ถูกต้อง เพื่อไว้ใช้อ้างอิง  และ</t>
  </si>
  <si>
    <r>
      <t xml:space="preserve">ให้ผู้รับจ้างทำการเสนอราคาก่อสร้าง </t>
    </r>
    <r>
      <rPr>
        <b/>
        <sz val="16"/>
        <rFont val="TH SarabunIT๙"/>
        <family val="2"/>
      </rPr>
      <t>แบบตอกเสาเข็ม</t>
    </r>
    <r>
      <rPr>
        <sz val="16"/>
        <rFont val="TH SarabunIT๙"/>
        <family val="2"/>
      </rPr>
      <t xml:space="preserve">  โดยใช้ฐานรากของสิ่งก่อสร้างต่อไปนี้</t>
    </r>
  </si>
  <si>
    <t>ในการคิดราคาค่าก่อสร้าง</t>
  </si>
  <si>
    <t>๑.๕.๑</t>
  </si>
  <si>
    <t>๑.๕.๒</t>
  </si>
  <si>
    <t>๑.๕.๓</t>
  </si>
  <si>
    <t xml:space="preserve">ก่อสร้างที่ขออนุญาตใช้ในโครงการนี้ </t>
  </si>
  <si>
    <t>๑.๕.๔ จัดส่งรายละเอียดมาตรฐานรับรองคุณภาพ ท่อ ข้อต่อ ประตูน้ำเหล็กหล่อ อุปกรณ์ประปา และวัสดุ</t>
  </si>
  <si>
    <t>๑.๕.๕ จัดส่งรายละเอียดและแคตตาล๊อก สี และสารกันซึมประเภทซีเมนต์เบส</t>
  </si>
  <si>
    <t>๑.๕.๖ จัดส่งตัวอย่างกรวดกรอง - ทรายกรอง อย่างละ ๑ กิโลกรัม</t>
  </si>
  <si>
    <t>๑.๘.๑</t>
  </si>
  <si>
    <t>๑.๘.๒</t>
  </si>
  <si>
    <t>๑.๘.๓</t>
  </si>
  <si>
    <t>ท่อ ข้อต่อ และอุปกรณ์ประปา เช่น ประตูน้ำเหล็กหล่อ เช็ควาล์ว หน้าจาน ที่ใช้ในการก่อสร้างระบบ</t>
  </si>
  <si>
    <t>ประปาแห่งนี้  ถ้ามีมาตรฐาน มอก. กำหนดไว้  ให้ใช้มาตรฐาน มอก.  ตามรายการรายละเอียดทั่วไป</t>
  </si>
  <si>
    <t>ประกอบแบบแปลนการก่อสร้างระบบประปา และเครื่องมือ เครื่องจักรกล ที่นำมาใช้ เช่น เครื่องผสม</t>
  </si>
  <si>
    <t>คอนกรีต, เครื่องสั่นคอนกรีต, ค้ำยัน, นั่งร้าน, รถเข็น, รอก และรถขุดดิน เป็นต้น   จะต้องใช้การได้ดี</t>
  </si>
  <si>
    <t>มีคุณภาพไม่ต่ำกว่า ๗๐ %  และมีจำนวนเพียงพอ</t>
  </si>
  <si>
    <t>(๑-๖)</t>
  </si>
  <si>
    <t>๓.๑.๑ จัดหาวัสดุ ในการเจาะบ่อบาดาล ได้แก่ ท่อกรุบ่อ PVC dia ๖ นิ้ว ยาว ๔ ม. ชั้นคุณภาพ ๑๓.๕</t>
  </si>
  <si>
    <t>ปลายเรียบ, ท่อเซาะร่องกรองน้ำ PVC dia ๖ นิ้ว ยาว ๔ ม. ชั้นคุณภาพ ๑๓.๕ ปลายเรียบ, ท่อตกตะกอน</t>
  </si>
  <si>
    <t>PVC dia ๖ นิ้ว ยาว ๔ ม. ชั้นคุณภาพ ๑๓.๕ ปลายเรียบ พร้อมข้อต่อตรง PVC. ชั้น ๑๓.๕, กรวดกรองน้ำ</t>
  </si>
  <si>
    <t>จะต้องเป็นกรวดแม่น้ำลักษณะกลม ขนาด dia ๑/๔-๓/๘ นิ้ว, ดินเหนียวแห้งหรืออิฐดิบทุบละเอียด ขนาด</t>
  </si>
  <si>
    <t>วิทยาศาสตร์ และอื่นๆ</t>
  </si>
  <si>
    <t>เล็กกว่า ๑ ซม.,  คอนกรีต ๑ : ๒ : ๔,  เหล็กเส้นกลม dia ๖ มม.  วางตะแกรงระยะห่าง ๐.๒๐ ม.,  โคลน</t>
  </si>
  <si>
    <t>แนวดิ่ง กึ่งกลางบ่อ จากนั้นให้ใส่กรวดกรองน้ำรอบท่อจนสูงกว่าท่อเซาะร่องกรองน้ำไม่น้อยกว่า ๘ เมตร</t>
  </si>
  <si>
    <t xml:space="preserve">เรียบร้อย สะอาด จนเป็นที่พอใจของคณะกรรมการตรวจการจ้าง </t>
  </si>
  <si>
    <t>๓.๑.๘ เมื่อก่อสร้างเรียบร้อยแล้ว ผู้รับจ้างจะต้องรื้อถอน และขนย้ายสิ่งกีดขวาง จัดเก็บกวาดสถานที่ให้</t>
  </si>
  <si>
    <t>รูปภาพบ่อบาดาล ให้คณะกรรมการตรวจการจ้างตรวจสอบ และให้ความเห็นชอบ</t>
  </si>
  <si>
    <t xml:space="preserve">๓.๑.๗ ผู้รับจ้างจะต้องทำรายงานผลการเจาะบ่อบาดาล ขนาด ความลึก ปริมาณน้ำ คุณภาพน้ำดิบ </t>
  </si>
  <si>
    <t>๗  ลบ.ม./ชม.  และผลการวิเคราะห์ให้เป็นไปตามเกณฑ์มาตรฐานน้ำดิบเพื่อการประปา พร้อมรายงานผล</t>
  </si>
  <si>
    <t xml:space="preserve">การทดสอบจำนวน ๓ ชุด จากหน่วยงานที่เชื่อถือได้ </t>
  </si>
  <si>
    <t>โดยวิธีเจาะสำรวจชั้นของดิน โดยใช้วิธี Boring test  หรือ  Standard</t>
  </si>
  <si>
    <t>โดยระยะและตำแหน่ง</t>
  </si>
  <si>
    <t>กับท่อหอถังสูงเหล็ก สำหรับรายละเอียดการประสานท่อและอุปกรณ์ประปา ให้เป็นไปตามแบบเลขที่….</t>
  </si>
  <si>
    <t>จากการประสานท่อเครื่องสูบน้ำดิบเชื่อมประสาน</t>
  </si>
  <si>
    <r>
      <t xml:space="preserve">การประสานระบบไฟฟ้าภายนอก </t>
    </r>
    <r>
      <rPr>
        <sz val="16"/>
        <rFont val="TH SarabunIT๙"/>
        <family val="2"/>
      </rPr>
      <t>ในส่วนของการไฟฟ้าส่วนภูมิภาคดำเนินการ และระบบไฟฟ้าภายใน</t>
    </r>
  </si>
  <si>
    <t>(หลังมิเตอร์ไฟฟ้า) ตามแบบเลขที่.........................</t>
  </si>
  <si>
    <t>หาท่อ วัสดุ อุปกรณ์ท่อจ่ายน้ำประปา แล้วทำการขุดดิน วางท่อ เชื่อมประสานท่อพร้อมอุปกรณ์ กลบดิน</t>
  </si>
  <si>
    <t>ผู้รับจ้างต้องทำการจัด</t>
  </si>
  <si>
    <t>รวมทั้งการขยายเขตการใช้ไฟฟ้า การติดตั้งหม้อแปลงไฟฟ้า และการดำเนินการอื่นๆ ตามกฎข้อบังคับ</t>
  </si>
  <si>
    <t>มาตรฐานของการไฟฟ้าส่วนภูมิภาค  ตลอดจนรับผิดชอบค่าใช้จ่ายต่างๆ ที่เกิดขึ้นดังกล่าว ตามประมาณ</t>
  </si>
  <si>
    <t xml:space="preserve">การของการไฟฟ้าส่วนภูมิภาคทั้งหมด </t>
  </si>
  <si>
    <t>๑. การขยายเขตไฟฟ้าแรงสูง (ดำเนินการโดยการไฟฟ้าส่วนภูมิภาค)</t>
  </si>
  <si>
    <t>๒. ปักเสาคอนกรีตอัดแรง ขนาด ๑๒.๐๐ เมตร จำนวน ๐๐ ต้น พร้อมขยายเขตไฟฟ้า</t>
  </si>
  <si>
    <t xml:space="preserve">แรงสูง ๑ เฟส ๒๒๐ โวลท์ ระยะทาง  ๐๐  เมตร </t>
  </si>
  <si>
    <t xml:space="preserve">๓. ติดตั้งหม้อแปลงไฟฟ้า ขนาด ๓๐ เควีเอ จำนวน ๐๐ ชุด </t>
  </si>
  <si>
    <t>๑. การขยายเขตไฟฟ้าแรงต่ำ (ไม่มี)</t>
  </si>
  <si>
    <t>๒. ปักเสาคอนกรีตอัดแรง ขนาดไม่น้อยกว่า ๘.๐๐ เมตร จำนวน ๐๐ ต้น พร้อมขยาย</t>
  </si>
  <si>
    <t xml:space="preserve">เขตไฟฟ้าแรงต่ำ ๑ เฟส ๒๒๐ โวลท์ ระยะทาง  ๐๐  เมตร </t>
  </si>
  <si>
    <t xml:space="preserve">๓. ติดตั้งหม้อแปลงไฟฟ้า(กรณีไฟตก) ขนาด ๒๒๐ โวท์ล ๑๕ แอมป์ จำนวน ๐๐ ชุด </t>
  </si>
  <si>
    <r>
      <t>จากความเห็นของการไฟฟ้าส่วนภูมิภาค  หรือ เนื่องจากการเปลี่ยนแปลงใดๆ ก็แล้วแต่  ทำให้</t>
    </r>
    <r>
      <rPr>
        <b/>
        <u/>
        <sz val="16"/>
        <rFont val="TH SarabunIT๙"/>
        <family val="2"/>
      </rPr>
      <t>ราคาลดลง</t>
    </r>
  </si>
  <si>
    <t>ผู้รับจ้างจะต้องคืนเงินค่าใช้จ่ายของการดำเนินการในส่วนนั้น ให้แก่ผู้รับจ้างตามประมาณราคาของหน่วย</t>
  </si>
  <si>
    <t xml:space="preserve">งาน หรือสำนักงานทรัพยากรน้ำภาค ๑๐ </t>
  </si>
  <si>
    <r>
      <t>ดำเนินการในส่วนอื่นๆ เพิ่มขึ้นนอกเหนือจากที่กำหนดไว้ และมีค่าใช้จ่าย</t>
    </r>
    <r>
      <rPr>
        <b/>
        <u/>
        <sz val="16"/>
        <rFont val="TH SarabunIT๙"/>
        <family val="2"/>
      </rPr>
      <t>เพิ่มขึ้น</t>
    </r>
    <r>
      <rPr>
        <sz val="16"/>
        <rFont val="TH SarabunIT๙"/>
        <family val="2"/>
      </rPr>
      <t xml:space="preserve">  ผู้รับจ้างสามารถเรียก</t>
    </r>
  </si>
  <si>
    <t>ร้องค่าใช้จ่ายในส่วนที่ดำเนินการเพิ่มขึ้นได้ โดยใช้ราคากลางของ สำนักงานทรัพยกรน้ำภาค ๑๐ กำหนด</t>
  </si>
  <si>
    <t>โดยนำเงินเหลือจ่ายค่าเสาเข็มในส่วนที่ไม่ได้ดำเนินการ หรือ ปรับลดระบบท่อจ่ายน้ำประปา หรือค่าอื่นๆ</t>
  </si>
  <si>
    <t>ที่ผู้ว่าจ้างมีงบประมาณเพียงพอ มาทดแทน</t>
  </si>
  <si>
    <r>
      <t xml:space="preserve">การไฟฟ้าส่วนภูมิภาค </t>
    </r>
    <r>
      <rPr>
        <b/>
        <u/>
        <sz val="16"/>
        <rFont val="TH SarabunIT๙"/>
        <family val="2"/>
      </rPr>
      <t>สูงกว่า</t>
    </r>
    <r>
      <rPr>
        <sz val="16"/>
        <rFont val="TH SarabunIT๙"/>
        <family val="2"/>
      </rPr>
      <t xml:space="preserve"> ประมาณการของสำนักงานทรัพยากรน้ำภาค ๑๐   อันเนื่องมาจากเหตุผล</t>
    </r>
  </si>
  <si>
    <t>อื่นๆ อาทิ เช่น การหมดระยะการยื่นราคาเดิม  หรือการไฟฟ้าส่วนภูมิภาคเปลี่ยนแปลงอัตรา  หรือวิธีคิด</t>
  </si>
  <si>
    <t xml:space="preserve">ที่แน่นอนจะกำหนดให้ในวันชี้สถานที่หรือขณะก่อสร้าง </t>
  </si>
  <si>
    <t>๓.๑๒.๑.๒ ระบบไฟฟ้าภายนอกของระบบประปาแห่งนี้ ประกอบด้วยส่วนต่างๆ ดังนี้</t>
  </si>
  <si>
    <t>๕. ติดตั้งมิเตอร์พร้อมค่าประกันการใช้ไฟฟ้า ขนาด ๑ เฟส ๑๕ แอมป์ จำนวน ๑ ชุด</t>
  </si>
  <si>
    <t>๔. ติดตั้งมิเตอร์พร้อมค่าประกันการใช้ไฟฟ้า ขนาด ๑ เฟส ๓๐ แอมป์ จำนวน ๐ ชุด</t>
  </si>
  <si>
    <t>๓.๑๒.๑.๓ การดำเนินการตามข้อ ๓.๑๒.๑.๒  หากปรากฎว่า ไม่ได้ดำเนินการในส่วนใด อันเนื่องมา</t>
  </si>
  <si>
    <t>๓.๑๒.๑.๔ การดำเนินการตามข้อ ๓.๑๒.๑.๒  หากปรากฎว่า การไฟฟ้าส่วนภูมิภาคกำหนดให้มีการ</t>
  </si>
  <si>
    <t>๓.๑๒.๑.๕ ค่าใช้จ่ายในการดำเนินการตามข้อ ๓.๑๒.๑.๒ หากปรากฎว่าประมาณการค่าใช้จ่ายของ</t>
  </si>
  <si>
    <t>ราคา ฯลฯ และมิใช้เหตุตามข้อ ๓.๑๒.๑.๔  ผู้รับจ้างจะเรียกร้องค่าใช้จ่ายในส่วนที่เพิ่มขึ้นไม่ได้</t>
  </si>
  <si>
    <t xml:space="preserve">๓.๑๒.๒ ระบบไฟฟ้าภายใน (หลังมิเตอร์ไฟฟ้า) ผู้รับจ้างต้องดำเนินการเอง ดังนี้ </t>
  </si>
  <si>
    <t>ต้น  และพาดสาย</t>
  </si>
  <si>
    <t>ไฟฟ้าขนาดตามการไฟฟ้าฯ กำหนด จำนวน ๒ สาย จากมิเตอร์ไฟฟ้ามายังหอถังสูงเหล็ก ตำแหน่งเสาไฟฟ้า</t>
  </si>
  <si>
    <t xml:space="preserve">ที่เสาไฟฟ้า   (ควบคุมวงจรทั้งระบบ) </t>
  </si>
  <si>
    <t>๓.๑๒.๒.๒ จัดหา, ติดตั้งสะพานไฟ (Cut out) ขนาด 100 A. พร้อมอุปกรณ์ จำนวน ๑ ชุด ติดตั้ง</t>
  </si>
  <si>
    <t>๗๐ องศา ขนาด ๒ x ๒.๕ ตร.มม. เชื่อมโยงระบบตามมาตรฐานการไฟฟ้าส่วนภูมิภาค</t>
  </si>
  <si>
    <t>ทองแดงกลม สายแบนแกนคู่หุ้มฉนวนและหุ้มเปลือกนอก พี.วี.ซี. (VAF) ทนแรงดัน ๓๐๐ โวลต์ อุณหภูมิ</t>
  </si>
  <si>
    <t>๓.๑๒.๒.๓ ติดตั้งอุปกรณ์ไฟฟ้าแสงสว่าง  โคมไฟชนิดกันฝน 1-36 วัตต์  พร้อมทั้งเดินสายไฟฟ้า</t>
  </si>
  <si>
    <t>แบบอัตโนมัติ ที่หอถังสูง ๑ ชุด โดยเชื่อมโยงสายไฟฟ้ามายังตู้ควบคุมของเครื่องสูบน้ำดิบ</t>
  </si>
  <si>
    <t>๓.๑๒.๒.๔ ติดตั้งเพรชเชอร์สวิทซ์ พร้อมเกย์วัดแรงดัน เพื่อควบคุมการทำงานของเครื่องสูบน้ำดิบ</t>
  </si>
  <si>
    <t>คอร. พร้อมเชื่อมโยงสายไฟฟ้าลงสู่ดิน</t>
  </si>
  <si>
    <t>๓.๑๒.๒.๕ ติดตั้งอุปกรณ์ป้องกันฟ้าผ่า แบบลูกถ้วย จำนวน ๑ ชุด  ที่สายไฟฟ้าก่อนถึงเสาไฟฟ้า</t>
  </si>
  <si>
    <t>ก. กรณีขยายเขตไฟฟ้าแรงสูง  (ไม่มี)</t>
  </si>
  <si>
    <t>ผู้รับจ้างจะต้องดำเนินการส่งตัวอย่างวัสดุ หิน กรวด ทราย ตัวอย่างหล่อลูกบาศก์คอนกรีต และเหล็กเสริม</t>
  </si>
  <si>
    <t xml:space="preserve">เพื่อทำการทดสอบ และรายงานผลให้คณะกรรมการตรวจการจ้างตรวจสอบ พิจารณาให้ความเห็นชอบ </t>
  </si>
  <si>
    <t>แข็งแกร่ง การขัดสี สิ่งเจือปน สัดส่วนคละ และออกแบบอัตรส่วนผสมของคอนกรีต ในกรณีที่ใช้คอน</t>
  </si>
  <si>
    <t>กรีตผสมเสร็จ ให้บริษัทเป็นผู้รับรองการออบแบบอัตราส่วนผสมของคอนกรีต  ให้ได้กำลังตามที่ต้อง</t>
  </si>
  <si>
    <t xml:space="preserve">การโดยไม่ต้องเก็บตัวอย่างวัสดุทำการทดสอบ </t>
  </si>
  <si>
    <t>ของช่างควบคุมงานก่อสร้าง และให้เขียน วันเดือนปี ค่ายุบตัวของคอนกรีต งาน ลงบนแท่งตัวอย่าง</t>
  </si>
  <si>
    <t xml:space="preserve">เพื่อทดสอบกำลังแรงอัดของคอนกรีต </t>
  </si>
  <si>
    <t>หรือรายงานการออกแบบส่วนผสมคอนกรีตจากบริษัทคอนกรีตผสมเสร็จ รับรอง ให้คณะกรรมการ</t>
  </si>
  <si>
    <t xml:space="preserve">ตรวจการจ้างตรวจสอบ พิจารณาให้ความเห็นชอบก่อนนำมาใช้งาน </t>
  </si>
  <si>
    <t>ตรวจรับงานจ้าง</t>
  </si>
  <si>
    <t xml:space="preserve">ผู้ผลิต/ตัวแทนจำหน่าย ให้คณะกรรมการตรวจฯ เห็นชอบก่อนนำไปใช้งาน </t>
  </si>
  <si>
    <t>๓.๑๗.๑.๒ เก็บตัวอย่างหล่อลูกบาศก์คอนกรีต งานละ ๑ ครั้งๆ ละ ๓ ตัวอย่าง  หรือ ตามความเห็น</t>
  </si>
  <si>
    <t>๓.๑๗.๑.๑ สุ่มเก็บตัวอย่างหินย่อย หรือกรวด และทราย จำนวนอย่างละ ๕๐ กก. เพื่อทดสอบความ</t>
  </si>
  <si>
    <t xml:space="preserve">๓.๑๗.๑ การเก็บตัวอย่างทดสอบ </t>
  </si>
  <si>
    <t xml:space="preserve">๓.๑๗.๒ การรายงานผล </t>
  </si>
  <si>
    <t>๓.๑๗.๒.๑ ผลการทดสอบคุณสมบัติของหินย่อย กรวด ทราย และการออกแบบส่วนผสมคอนกรีต</t>
  </si>
  <si>
    <t>๓.๑๗.๒.๒ ผลการทดสอบแรงอัดตัวอย่างลูกบาศก์ ให้คณะกรรมการตรวจการจ้างเห็นชอบก่อน</t>
  </si>
  <si>
    <t>๓.๑๗.๒.๓ ผลการทดสอบคุณสมบัติของเหล็ก หรือหนังสือรับรองผลการทดสอบเหล็กของบริษัท</t>
  </si>
  <si>
    <t>ละ ๑.๐๐ เมตร</t>
  </si>
  <si>
    <t>๓.๑๗.๑.๓ เก็บตัวอย่างทดสอบเหล็กเสริมคอนกรีต ทุกขนาดๆ ละ ๓ ท่อน โดยไม่ซ้ำเส้น ยาวท่อน</t>
  </si>
  <si>
    <t>งวดงานที่ ๒ ( 3๐ วัน)</t>
  </si>
  <si>
    <t>งวดงานที่ ๓ ( 3๐ วัน)</t>
  </si>
  <si>
    <t xml:space="preserve">.............................................) </t>
  </si>
  <si>
    <r>
      <t xml:space="preserve">เมื่อผู้รับจ้างได้ทำการเจาะบ่อบาดาล PVC. ขนาด </t>
    </r>
    <r>
      <rPr>
        <sz val="11"/>
        <rFont val="Symbol"/>
        <family val="1"/>
        <charset val="2"/>
      </rPr>
      <t>ฦ</t>
    </r>
    <r>
      <rPr>
        <sz val="16"/>
        <rFont val="TH SarabunIT๙"/>
        <family val="2"/>
      </rPr>
      <t xml:space="preserve"> ๖ นิ้ว แล้วเสร็จ </t>
    </r>
  </si>
  <si>
    <t>๑.๑.๑ ดินถม  ตามรายการรายละเอียดเฉพาะแห่ง  คิดเป็น ๐.๕ % ของงวดงาน</t>
  </si>
  <si>
    <t xml:space="preserve">เมื่อผู้รับจ้างได้ทำการปรับเกลี่ยแต่งพื้นที่บริเวณที่ตั้งระบบประปาแล้วเสร็จ </t>
  </si>
  <si>
    <t xml:space="preserve">เมื่อผู้รับจ้างได้ทำการผูกเหล็กประกอบแบบ เทคอนกรีตพื้นรองถังกรองแล้วเสร็จ </t>
  </si>
  <si>
    <t>เมื่อผู้รับจ้างได้ทำการตอกเสาเข็ม(ถ้ามี) ผูกเหล็กประกอบแบบ เทคอนกรีต ฐานราก ตอม่อ พื้นรองถัง</t>
  </si>
  <si>
    <t xml:space="preserve">๑.๑.๕ ทดสอบความสามารถในการรับน้ำหนักบรรทุกของดิน  ตามรายการรายละเอียดเฉพาะแห่ง </t>
  </si>
  <si>
    <t>สูบน้ำดิบแบบซับเมิสซิเบิ้ล ตู้ควบคุมพร้อมอุปกรณ์ไฟฟ้าภายใน, เครื่องมือตรวจวัดความเป็นกรด-ด่าง</t>
  </si>
  <si>
    <t>ในน้ำ, เครื่องมือตรวจวัดสารละลายเหล็กในน้ำ, สี และมาตรฐานผลิตภัณฑ์อุตสาหกรรม วัสดุ ท่อและ</t>
  </si>
  <si>
    <t>อุปกรณ์ ให้คณะกรรมการตรวจการจ้างตรวจสอบ และให้ความเห็นชอบก่อนนำมาใช้งาน ให้แล้วเสร็จ</t>
  </si>
  <si>
    <t>ก่อนส่งงวดงาน</t>
  </si>
  <si>
    <t xml:space="preserve">เมื่อผู้รับจ้างได้ทำการติดตั้งถังกรองสนิมเหล็ก พร้อมประสานท่อ อุปกรณ์แล้วเสร็จ </t>
  </si>
  <si>
    <t xml:space="preserve">เมื่อผู้รับจ้างได้ทำการติดตั้งหอถังสูงเหล็กทรงรูปถ้วยเชมเปญ พร้อมประสานท่อ อุปกรณ์แล้วเสร็จ </t>
  </si>
  <si>
    <t xml:space="preserve">เมื่อผู้รับจ้างได้ทำการจัดหาและวางท่อจ่ายน้ำประปาแล้วเสร็จดังนี้ </t>
  </si>
  <si>
    <t xml:space="preserve">ซึ่งจะแล้วเสร็จภายใน ๙๐ วัน นับถัดจากวันลงนามในสัญญา </t>
  </si>
  <si>
    <t>เมื่อผู้รับจ้างได้ทำการก่อสร้างอาคารรั้ว ประตูรั้วแล้วเสร็จทั้งหมด เรียบร้อย ถูกต้อง ครบถ้วน</t>
  </si>
  <si>
    <t xml:space="preserve">เมื่อผู้รับจ้างได้ทำการจัดหาและติดตั้งอุปกรณ์ไฟฟ้าภายในบริเวณที่ตั้งระบบแล้วเสร็จ เรียบร้อย ถูกต้อง </t>
  </si>
  <si>
    <t xml:space="preserve">คิดเป็น ๑.๐ % ของงวดงาน </t>
  </si>
  <si>
    <t xml:space="preserve">เมื่อผู้รับจ้างได้ทำการจัดหาและส่งมอบเครื่องมือประจำการประปา จำนวน ๑ ชุด ให้แก่ผู้ผลิตน้ำประปา </t>
  </si>
  <si>
    <t xml:space="preserve">๓.๒.๒ จัดหาและส่งมอบเครื่องมือประจำการประปา  ตามรายการรายละเอียดเฉพาะแห่ง </t>
  </si>
  <si>
    <t xml:space="preserve">๓.๒.๓ จัดหาและส่งมอบเครื่องมือตรวจวัด ตามรายการรายละเอียดเฉพาะแห่ง </t>
  </si>
  <si>
    <t xml:space="preserve">ส่งมอบต้นฉบับพร้อมทั้งพิมพ์เขียวของ AS BUILT DRAWING จำนวน ๕ ชุด (กรณีถ้ามีการแก้ไขแบบรูป) </t>
  </si>
  <si>
    <t>ให้แก่คณะกรรมการตรวจการจ้าง และผู้ควบคุมงาน ตรวจสอบ พิจารณาให้ความเห็นชอบ ก่อนวันส่งมอบงาน</t>
  </si>
  <si>
    <t xml:space="preserve">งวดสุดท้าย ก่อน ๑๕ วัน </t>
  </si>
  <si>
    <t xml:space="preserve">สุดท้าย </t>
  </si>
  <si>
    <t>๑.๒ รั้ว, ประตูรั้ว ความยาว ๓๖ เมตร แบบเลขที่ ๙๒๑๐๐๑, ๙๑๑๐๔๓</t>
  </si>
  <si>
    <t>๑.๓ การประสานท่อระหว่างระบบ แบบเลขที่ ๙๑๑๐๔๓, ๙๙๑๐๔๔</t>
  </si>
  <si>
    <t>๑.๑๑ ระบบท่อส่งน้ำดิบ จำนวน ๑ ระบบ แบบเลขที่ อบต.พลูเถื่อน</t>
  </si>
  <si>
    <t>๙๑๑๐๔๓</t>
  </si>
  <si>
    <t xml:space="preserve">หอถังสูงเหล็ก ทรงรูปถ้วยเชมเปญ ขนาด ๑๕ ลบ.ม.  สูง ๒๐ ม.  </t>
  </si>
  <si>
    <t>ท่อน้ำเข้าถัง PVC. ชั้น 13.5 ยาว 4 ม. dia 2"</t>
  </si>
  <si>
    <t>ท่อน้ำล้น PVC. ชั้น 13.5 ยาว 4 ม. dia 2"</t>
  </si>
  <si>
    <t>ท่อเหล็กอาบสังกะสี+ข้อต่อยาว6ม. dia 2"</t>
  </si>
  <si>
    <t xml:space="preserve">ข้องอ 90 เหล็กอาบสังกะสี dia. 2" </t>
  </si>
  <si>
    <t xml:space="preserve">ข้อต่อเกลียวนอก PVC. dia. 2" ชั้น 13.5 </t>
  </si>
  <si>
    <t xml:space="preserve">ประตูน้ำทองเหลือง dia. 2" </t>
  </si>
  <si>
    <t xml:space="preserve">นิปเปิ้ลเหล็กอาบสังกะสี dia. 2" </t>
  </si>
  <si>
    <t>ยูเนียนเหล็กอาบสังกะสี dia 2"</t>
  </si>
  <si>
    <t>๑.๑๒ ระบบท่อจ่ายน้ำประปา ความยาว ๔,๐๐๐ ม. แบบเลขที่ อบต.พลูเถื่อน</t>
  </si>
  <si>
    <t xml:space="preserve">๑.๔.๑ หอถังสูงเหล็กทรงรูปถ้วยเชมเปญ ขนาดจุ ๑๕ ลบ.ม. </t>
  </si>
  <si>
    <r>
      <t xml:space="preserve">ประเภทงานก่อสร้าง, สูตร และวิธีการคำนวณ ตามที่ </t>
    </r>
    <r>
      <rPr>
        <sz val="16"/>
        <color indexed="12"/>
        <rFont val="TH SarabunIT๙"/>
        <family val="2"/>
      </rPr>
      <t>องค์การบริหารส่วนตำบลพลูเถื่อน กำหนด</t>
    </r>
    <r>
      <rPr>
        <sz val="16"/>
        <rFont val="TH SarabunIT๙"/>
        <family val="2"/>
      </rPr>
      <t xml:space="preserve"> </t>
    </r>
  </si>
  <si>
    <t xml:space="preserve">      องค์การบริหารส่วนตำบลพลูเถื่อน </t>
  </si>
  <si>
    <t>ผู้ว่าจ้าง  :  องค์การบริหารส่วนตำบลพลูเถื่อน</t>
  </si>
  <si>
    <r>
      <t xml:space="preserve">๑.๘ บ่อบาดาล PVC. ขนาด </t>
    </r>
    <r>
      <rPr>
        <sz val="11"/>
        <rFont val="Symbol"/>
        <family val="1"/>
        <charset val="2"/>
      </rPr>
      <t>ฦ</t>
    </r>
    <r>
      <rPr>
        <sz val="16"/>
        <rFont val="TH SarabunIT๙"/>
        <family val="2"/>
      </rPr>
      <t xml:space="preserve"> ๖ นิ้ว ความลึก ๘๐ เมตร จำนวน ๑ บ่อ </t>
    </r>
  </si>
  <si>
    <t>๑.๑๐ หอถังสูงเหล็กทรงรูปถ้วยเชมเปญ ขนาดจุ ๑๕ ลบ.ม. สูง ๒๐ ม.</t>
  </si>
  <si>
    <t xml:space="preserve">๑.๑๒ ระบบท่อจ่ายน้ำประปา ความยาว ๔,๐๐๐ ม. </t>
  </si>
  <si>
    <t xml:space="preserve">ผู้ว่าจ้างจะต้องดำเนินการเจาะบ่อบาดาล ท่อกรุ PVC.  ขนาด dia ๖ นิ้ว   ความลึกประมาณ  ๘๐  เมตร </t>
  </si>
  <si>
    <t>บ่อบาดาล บ่อมีขนาดเส้นผ่าศูนย์กลางไม่น้อยกว่า ๑๐ นิ้ว ลึกประมาณ ๘๐ เมตร และผลิตน้ำที่มีคุณภาพ</t>
  </si>
  <si>
    <t xml:space="preserve">อยู่ในเกณฑ์มาตรฐานน้ำดิบเพื่อการประปา และได้ปริมาณน้ำไม่น้อยกว่า  ๗  ลบ.ม./ชม.  </t>
  </si>
  <si>
    <t xml:space="preserve">หอถังสูงเหล็ก ขนาด ๑๕ ลบ.ม. </t>
  </si>
  <si>
    <t>(หอถังสูงเหล็ก ใช้เสาเข็ม คอร. ขนาด [/] ๐.๒๐ x ๐.๒๐ x ๖.๐๐ ม. จำนวน ๑๖ ต้น)</t>
  </si>
  <si>
    <t>หอถังสูงเหล็กทรงรูปถ้วยเชมเปญ ขนาดจุ ๑๕ ลบ.ม. สูง ๒๐ ม. ลงในบริเวณก่อสร้างระบบประปาตาม</t>
  </si>
  <si>
    <r>
      <rPr>
        <sz val="16"/>
        <color indexed="12"/>
        <rFont val="TH SarabunIT๙"/>
        <family val="2"/>
      </rPr>
      <t xml:space="preserve">" องค์การบริหารส่วนตำบลพลูเถื่อน "  </t>
    </r>
    <r>
      <rPr>
        <sz val="16"/>
        <rFont val="TH SarabunIT๙"/>
        <family val="2"/>
      </rPr>
      <t>บริเวณด้านหน้าของตัวถังและด้านตรงข้ามให้เขียนข้อความว่า</t>
    </r>
  </si>
  <si>
    <r>
      <rPr>
        <sz val="16"/>
        <color indexed="12"/>
        <rFont val="TH SarabunIT๙"/>
        <family val="2"/>
      </rPr>
      <t xml:space="preserve">"ระบบประปาหมู่บ้านบางสามัคคี..." </t>
    </r>
    <r>
      <rPr>
        <sz val="16"/>
        <rFont val="TH SarabunIT๙"/>
        <family val="2"/>
      </rPr>
      <t xml:space="preserve"> โดยต้องมี ขนาดความสูงของตัวอักษรประมาณ ๕๐ ซ.ม. ด้วยสีส้ม</t>
    </r>
  </si>
  <si>
    <t>ตามแบบการประสานท่อระหว่างระบบ เลขที่ ๙๑๑๐๔๓  มีความยาวรั้วลวดหนามไม่น้อยกว่า..........……..</t>
  </si>
  <si>
    <t>แหล่งน้ำบ่อบาดาล PVC. Dia ๖ นิ้ว ขององค์การบริหารส่วนตำบลพลูเถื่อน</t>
  </si>
  <si>
    <r>
      <t>หรือตามรายละเอียด รูปแบบป้ายของ</t>
    </r>
    <r>
      <rPr>
        <sz val="16"/>
        <color indexed="12"/>
        <rFont val="TH SarabunIT๙"/>
        <family val="2"/>
      </rPr>
      <t>องค์การบริหารส่วนตำบลพลูเถื่อน</t>
    </r>
    <r>
      <rPr>
        <sz val="16"/>
        <rFont val="TH SarabunIT๙"/>
        <family val="2"/>
      </rPr>
      <t xml:space="preserve"> กำหนด </t>
    </r>
  </si>
  <si>
    <t>๙๑๑๐๐๑  โดยวางท่อ PVC. dia ๒ นิ้ว ชั้นคุณภาพ ๑๓.๕  ความยาวไม่น้อยกว่า...………..</t>
  </si>
  <si>
    <r>
      <t>ประสานท่อระหว่างระบบ</t>
    </r>
    <r>
      <rPr>
        <sz val="16"/>
        <rFont val="TH SarabunIT๙"/>
        <family val="2"/>
      </rPr>
      <t xml:space="preserve">  ตามแบบเลขที่ ๙๑๑๐๔๓    ผู้รับจ้างต้องดำเนินการจัดหาท่อและอุปกรณ์</t>
    </r>
  </si>
  <si>
    <t>เลขที่ ๙๑๑๐๔๓  พร้อมติดตั้งมาตรวัดน้ำขนาด dia ๓ นิ้ว ตามแบบเลขที่ ๙๙๑๐๔๔  ทาสีแยกประเภท</t>
  </si>
  <si>
    <r>
      <t xml:space="preserve">ระบบท่อจ่ายน้ำประปา </t>
    </r>
    <r>
      <rPr>
        <sz val="16"/>
        <rFont val="TH SarabunIT๙"/>
        <family val="2"/>
      </rPr>
      <t xml:space="preserve"> จำนวน ๑ ระบบ  ตามแบบเลขที่ อบต.พลูเถื่อน</t>
    </r>
  </si>
  <si>
    <r>
      <t>งวดที่ ๑</t>
    </r>
    <r>
      <rPr>
        <sz val="16"/>
        <rFont val="TH SarabunIT๙"/>
        <family val="2"/>
      </rPr>
      <t xml:space="preserve"> จะจ่ายเงินให้ร้อยละ ๒๐ ของราคาค่าก่อสร้างแต่ต้องไม่เกินราคากลางที่ทางราชการประมาณการไว้ </t>
    </r>
  </si>
  <si>
    <t xml:space="preserve">คิดเป็น ๖.๔ % ของงวดงาน </t>
  </si>
  <si>
    <t xml:space="preserve">คิดเป็น ๒๙.๐ % ของงวดงาน </t>
  </si>
  <si>
    <t xml:space="preserve">คิดเป็น ๕๗.๒ % ของงวดงาน </t>
  </si>
  <si>
    <t>๒.๑.๔ ระบบท่อจ่ายน้ำประปา  แบบเลขที่ อบต.พลูเถื่อน   คิดเป็น ๒๘.๐ % ของงวดงาน</t>
  </si>
  <si>
    <t xml:space="preserve">      ๑. ท่อ PVC. ยาว ๔ ม. ชั้นคุณภาพ ๘.๕ ขนาด dia ๓"  ความยาว ๑,๐๐๐ เมตร</t>
  </si>
  <si>
    <r>
      <t xml:space="preserve">งวดที่ ๓ </t>
    </r>
    <r>
      <rPr>
        <sz val="15"/>
        <rFont val="TH SarabunIT๙"/>
        <family val="2"/>
      </rPr>
      <t>(สุดท้าย) จะจ่ายเงินให้ร้อยละ ๔๕ ของราคาค่าก่อสร้างแต่ต้องไม่เกินราคากลางที่ทางราชการประมาณการไว้</t>
    </r>
  </si>
  <si>
    <t xml:space="preserve">๓.๑.๑ ป้ายการประปา  ตามแบบเลขที่ ๙๒๑๐๐๑   คิดเป็น ๐.๘ % ของงวดงาน </t>
  </si>
  <si>
    <t xml:space="preserve">๓.๑.๒ รั้ว, ประตูรั้ว  ตามแบบเลขที่ ๙๒๑๐๐๑, ๙๑๑๐๔๓  คิดเป็น ๔.๒ % ของงวดงาน </t>
  </si>
  <si>
    <t xml:space="preserve">๓.๑.๓ การประสานท่อระหว่างระบบ  ตามแบบเลขที่  ๙๑๑๐๔๓  คิดเป็น ๕.๒ % ของงวดงาน </t>
  </si>
  <si>
    <t xml:space="preserve">๓.๑.๕ ดินถม  ตามแบบเลขที่ ๙๑๑๐๔๓   คิดเป็น ๐.๑ % ของงวดงาน </t>
  </si>
  <si>
    <t xml:space="preserve">๓.๑.๖ การประสานระบบไฟฟ้าภายใน ตามรายละเอียดเฉพาะแห่ง คิดเป็น ๑.๙ % ของงวดงาน </t>
  </si>
  <si>
    <t xml:space="preserve">คิดเป็น ๕.๗ % ของงวดงาน </t>
  </si>
  <si>
    <t>๓.๑.๑๐ ระบบท่อจ่ายน้ำประปา  แบบเลขที่ อบต.พลูเถื่อน  คิดเป็น ๖๖.๕ % ของงวดงาน</t>
  </si>
  <si>
    <t>๓.๑.๙ ระบบท่อส่งน้ำดิบ  แบบเลขที่ อบต.พลูเถื่อน  คิดเป็น ๐.๗ % ของงวดงาน</t>
  </si>
  <si>
    <t xml:space="preserve">๓.๒.๑ จัดหาและติดตั้งเครื่องสูบน้ำบาดาล  ตามรายละเอียดเฉพาะแห่ง  คิดเป็น ๗.๕ % ของงวดงาน </t>
  </si>
  <si>
    <t>ท่อในบ่อบาดาลแล้วเสร็จ เรียบร้อยถูกต้องครบถ้วนตามแบบแปลน รายละเอียดเฉพาะแห่งทุกประการ</t>
  </si>
  <si>
    <t>เมื่อผู้รับจ้างได้ทำการจัดหาและติดตั้งเครื่องสูบน้ำดิบ แบบซับเมิสซิเบิ้ล พร้อมอุปกรณ์ควบคุม ประสาน</t>
  </si>
  <si>
    <t xml:space="preserve">คิดเป็น ๑.๔ % ของงวดงาน </t>
  </si>
  <si>
    <t xml:space="preserve">๓.๒.๔ การประสานระบบไฟฟ้าภายนอก  ตามรายละเอียดเฉพาะแห่ง  คิดเป็น ๑.๐ % ของงวดงาน </t>
  </si>
  <si>
    <t>หอถังสูงเหล็ก ขนาด ๑๕ ลบ.ม. สูง ๒๐ ม.</t>
  </si>
  <si>
    <t xml:space="preserve">สกัดหัวเสาเข็ม คอร. </t>
  </si>
  <si>
    <t>Penetration Test จำนวนไม่น้อยกว่า ๑ จุด ตำแหน่งหอถังสูง โดยอยู่ภายใต้การควบคุมการดำเนินการ</t>
  </si>
  <si>
    <t>ทดสอบโดยวิศวกรโยธา ที่ได้รับใบอนุญาตให้เป็นผู้ประกอบวิชาชีพวิศวกรรมควบคุมสาขา วิศวกรรมโยธา</t>
  </si>
  <si>
    <t>จากสภาวิศวกรตามพระราชบัญญัติวิศวกร พ.ศ. ๒๕๔๒   และรับรองผลการทดสอบดินโดยวิศวกรที่ได้รับ</t>
  </si>
  <si>
    <t>ใบอนุญาตให้เป็นผู้ประกอบวิชาชีพวิศวกรรมควบคุม สาขาวิศวกรรมโยธา  ประเภทวุฒิวิศวกร  จากสภา</t>
  </si>
  <si>
    <t>วิศวกรตามพระราชบัญญัติวิศวกร พ.ศ. ๒๕๔๒   และส่งรายงานผลการทดสอบดิน ให้แก่ คณะกรรมการ</t>
  </si>
  <si>
    <t>ตรวจการจ้าง พิจารณาเห็นชอบ ก่อนดำเนินการก่อสร้างโดยมีรายละเอียดการดำเนินการ ดังนี้ คือ</t>
  </si>
  <si>
    <t xml:space="preserve">ค่าเป่าล้างบ่อบาดาล </t>
  </si>
  <si>
    <t>ค่าทดสอบปริมาณน้ำ และวิเคราะห์คุณภาพน้ำดิบ</t>
  </si>
  <si>
    <t>หอถังเหล็ก ทรงรูปถ้วยเชมเปญ ขนาด 15 ลบ.ม. สูง 20 ม.</t>
  </si>
  <si>
    <t xml:space="preserve">แบบ ปร.5 (ก) แผ่นที่ 1/3  </t>
  </si>
  <si>
    <t>แบบ ปร.6 แผ่นที่ 1/1</t>
  </si>
  <si>
    <t>ท่อ PVC. ยาว 4.00 ม. ชั้น 8.5 dia 4"</t>
  </si>
  <si>
    <t>ท่อ PVC. ยาว 4.00 ม. ชั้น 8.5 dia 3"</t>
  </si>
  <si>
    <t>ท่อ PVC. ยาว 4.00 ม. ชั้น 8.5 dia 2"</t>
  </si>
  <si>
    <t>สบน.10-1007</t>
  </si>
  <si>
    <t>สบน.10-007</t>
  </si>
  <si>
    <t>อบต.ตะกุกใต้</t>
  </si>
  <si>
    <t>สบน.10-007 (1)</t>
  </si>
  <si>
    <r>
      <t>เจาะบ่อบาดาล ท่อกรุ PVC. ขนาด dia ๖ นิ้ว ลึก ๘๐ ม.</t>
    </r>
    <r>
      <rPr>
        <sz val="16"/>
        <rFont val="TH SarabunIT๙"/>
        <family val="2"/>
      </rPr>
      <t xml:space="preserve"> ตามแบบเลขที่ สบน.10-007 จำนวน ๑ บ่อ  </t>
    </r>
  </si>
  <si>
    <t xml:space="preserve">และ สบน.10-007  ตามสภาพความเป็นจริง </t>
  </si>
  <si>
    <r>
      <t>หอถังสูงเหล็ก ขนาด 15 ลบ.ม.</t>
    </r>
    <r>
      <rPr>
        <sz val="16"/>
        <rFont val="TH SarabunIT๙"/>
        <family val="2"/>
      </rPr>
      <t xml:space="preserve"> แบบเลขที่ 3212015 จำนวน 1 ถัง ผู้รับจ้างจะต้องดำเนินการก่อสร้าง</t>
    </r>
  </si>
  <si>
    <r>
      <t>ถังกรองสนิมเหล็ก ขนาด 7 ลบ.ม./ชม.</t>
    </r>
    <r>
      <rPr>
        <sz val="16"/>
        <rFont val="TH SarabunIT๙"/>
        <family val="2"/>
      </rPr>
      <t xml:space="preserve">  ตามแบบเลขที่ สบน.10-1007  จำนวน 1 ถัง  ผู้รับจ้างจะต้อง</t>
    </r>
  </si>
  <si>
    <t>กรมส่งเสริมการปกครองส่วนท้องถิ่น  ปีงบประมาณ 2561</t>
  </si>
  <si>
    <t>อุปกรณ์จากเครื่องสูบน้ำดิบเชื่อมประสานท่อที่ปากบ่อบาดาล แบบเลขที่ สบน.10-1007  โดยวางท่อ PVC.</t>
  </si>
  <si>
    <r>
      <t>ประสานท่อที่ปากบ่อบาดาล</t>
    </r>
    <r>
      <rPr>
        <sz val="16"/>
        <rFont val="TH SarabunIT๙"/>
        <family val="2"/>
      </rPr>
      <t xml:space="preserve">  ตามแบบ สบน.10-1007 </t>
    </r>
  </si>
  <si>
    <t>เสร็จให้ทำการทาสีน้ำมันเฉพาะส่วนที่ไม่ฝังดิน</t>
  </si>
  <si>
    <t>ที่กำหนดคุณสมบัติตามรายการที่ ๓.๙ โดยติดตั้งที่ปากบ่อบาดาล แบบเลขที่ สบน.10-1007 เมื่อก่อสร้าง</t>
  </si>
  <si>
    <t>ท่อ PVC. ยาว ๔.00 ม. ชั้นคุณภาพ ๘.๕  dia ๓"</t>
  </si>
  <si>
    <t>ท่อ PVC. ยาว ๔.00 ม. ชั้นคุณภาพ ๘.๕  dia ๒"</t>
  </si>
  <si>
    <t>ท่อ PVC. ยาว ๔.00 ม. ชั้นคุณภาพ ๘.๕  dia ๔"</t>
  </si>
  <si>
    <t>๑.๔ การประสานท่อที่ปากบ่อบาดาล แบบเลขที่ สบน.10-1007</t>
  </si>
  <si>
    <r>
      <t xml:space="preserve">๑.๘ บ่อบาดาล PVC. ขนาด </t>
    </r>
    <r>
      <rPr>
        <sz val="11"/>
        <rFont val="Symbol"/>
        <family val="1"/>
        <charset val="2"/>
      </rPr>
      <t>ฦ</t>
    </r>
    <r>
      <rPr>
        <sz val="14"/>
        <rFont val="TH SarabunIT๙"/>
        <family val="2"/>
      </rPr>
      <t xml:space="preserve"> ๖ นิ้ว จำนวน ๑ บ่อ แบบเลขที่ สบน.10-007</t>
    </r>
  </si>
  <si>
    <t>๑.๙ ถังกรองสนิมเหล็ก ขนาด ๗ ลบ.ม./ชม. จำนวน ๑ ถัง แบบเลขที่ สบน.10-007</t>
  </si>
  <si>
    <t>๑.๑๐ หอถังสูงเหล็กทรงรูปถ้วยเชมเปญ ขนาดจุ ๑๕ ลบ.ม. แบบเลขที่ 3212015</t>
  </si>
  <si>
    <r>
      <t xml:space="preserve">๑.๑.๒ บ่อบาดาล PVC. ขนาด </t>
    </r>
    <r>
      <rPr>
        <sz val="11"/>
        <rFont val="Symbol"/>
        <family val="1"/>
        <charset val="2"/>
      </rPr>
      <t>ฦ</t>
    </r>
    <r>
      <rPr>
        <sz val="16"/>
        <rFont val="TH SarabunIT๙"/>
        <family val="2"/>
      </rPr>
      <t xml:space="preserve"> ๖ นิ้ว แบบเลขที่ สบน.10-007  คิดเป็น ๖๒.๑ % ของงวดงาน</t>
    </r>
  </si>
  <si>
    <t>๑.๑.๓ ถังกรองสนิมเหล็ก ขนาด ๗ ลบ.ม./ชม. แบบเลขที่ สบน.10-1007 คิดเป็น ๒.๐ % ของงวดงาน</t>
  </si>
  <si>
    <t>๑.๑.๔ หอถังสูงเหล็กทรงรูปถ้วยเชมเปญ ขนาดจุ ๑๕ ลบ.ม. ตามแบบเลขที่ 3212015</t>
  </si>
  <si>
    <r>
      <t xml:space="preserve">๒.๑.๑ บ่อบาดาล PVC. ขนาด </t>
    </r>
    <r>
      <rPr>
        <sz val="11"/>
        <rFont val="Symbol"/>
        <family val="1"/>
        <charset val="2"/>
      </rPr>
      <t>ฦ</t>
    </r>
    <r>
      <rPr>
        <sz val="16"/>
        <rFont val="TH SarabunIT๙"/>
        <family val="2"/>
      </rPr>
      <t xml:space="preserve"> ๖ นิ้ว แบบเลขที่ สบน.10-007  คิดเป็น ๕.๓ % ของงวดงาน</t>
    </r>
  </si>
  <si>
    <t>๒.๑.๒ ถังกรองสนิมเหล็ก ขนาด ๗ ลบ.ม./ชม. แบบเลขที่ สบน.10-1007 คิดเป็น ๙.๕ % ของงวดงาน</t>
  </si>
  <si>
    <t>๒.๑.๓ หอถังสูงเหล็กทรงรูปถ้วยเชมเปญ ขนาดจุ ๑๕ ลบ.ม. ตามแบบเลขที่ 3212015</t>
  </si>
  <si>
    <t xml:space="preserve">๓.๑.๔ การประสานท่อที่ปากบ่อบาดาล  ตามแบบเลขที่  สบน.10-1007   คิดเป็น ๑.๘ % ของงวดงาน </t>
  </si>
  <si>
    <t>๓.๑.๗ ถังกรองสนิมเหล็ก ขนาด ๗ ลบ.ม./ชม. แบบเลขที่ สบน.10-1007 คิดเป็น ๒.๒ % ของงวดงาน</t>
  </si>
  <si>
    <t>๓.๑.๘ หอถังสูงเหล็กทรงรูปถ้วยเชมเปญ ขนาดจุ ๑๕ ลบ.ม. ตามแบบเลขที่ 3212015</t>
  </si>
  <si>
    <t xml:space="preserve">ขุดดินหลุมฐานราก/ถมดิน </t>
  </si>
  <si>
    <t xml:space="preserve">คอนกรีต 1 : 2 : 4  </t>
  </si>
  <si>
    <t>เหล็กเส้นกลม dia 6 มม. (2.22 กก./เส้น)</t>
  </si>
  <si>
    <t>ตัน</t>
  </si>
  <si>
    <t>เหล็กฉาก 40 x 40 x 3 มม. ยาว 6.00 ม.</t>
  </si>
  <si>
    <t>เส้น</t>
  </si>
  <si>
    <t xml:space="preserve">ท่อเหล็กอาบสังกะสี dia 2 นิ้ว </t>
  </si>
  <si>
    <t>แผ่นเหล็ก ขนาด 1.20 x 2.40 ม. หนา 1.6 มม.</t>
  </si>
  <si>
    <t xml:space="preserve">น๊อต dia 3/8 นิ้ว ยาว 4 นิ้ว </t>
  </si>
  <si>
    <t>หัวเสาธง อลูมิเนียม dia 2 นิ้ว</t>
  </si>
  <si>
    <t>ท่อเหล็กอาบสังกะสี ยาว 6.00 ม. dia 1 1/2"</t>
  </si>
  <si>
    <t>พร้อมทาสี</t>
  </si>
  <si>
    <t>ท่อเหล็กอาบสังกะสี dia 3"</t>
  </si>
  <si>
    <t>ท่อเหล็กอาบสังกะสี dia 3/4"</t>
  </si>
  <si>
    <t>ข้องอเหล็กอาบสังกะสี 90 ม-ม dia 3"</t>
  </si>
  <si>
    <t>ข้องอเหล็กอาบสังกะสี 90 ม-ม dia 3/4"</t>
  </si>
  <si>
    <t>ข้อโค้งเหล็กหล่อ 45 หน้าจาน 2 ด้าน dia 3"</t>
  </si>
  <si>
    <t>สามทางเหล็กอาบสังกะสี dia 3"</t>
  </si>
  <si>
    <t>ประตูน้ำเหล็กหล่อบนดิน หน้าจาน dia 3" แบบพวงมาลัย</t>
  </si>
  <si>
    <t>ก๊อกน้ำทองเหลือง dia 3/4"</t>
  </si>
  <si>
    <t>เทพื้น คสล. ขนาด 0.50 x 0.50 x 0.07 ม.,</t>
  </si>
  <si>
    <t>หน้าจานเกลียวเหล็กหล่อ dia 2"</t>
  </si>
  <si>
    <t>ประเก็นยาง dia 2"</t>
  </si>
  <si>
    <t>ท่อเหล็กอาบสังกะสี ยาว 6 ม. dia 2"</t>
  </si>
  <si>
    <t>ท่อกรุบ่อ PVC. ยาว 4.00 ม. ชั้น 13.5 dia 6"</t>
  </si>
  <si>
    <t>ท่อเซาะร่องกรองน้ำ PVC. ยาว 4.00 ม. ชั้น 13.5 dia 6"</t>
  </si>
  <si>
    <t>ท่อตกตะกอน PVC. ยาว 4.00 ม. ชั้น 13.5 dia 6"</t>
  </si>
  <si>
    <t xml:space="preserve">ถังกรองสนิมเหล็ก ขนาด 7 ลบ.ม./ชม. </t>
  </si>
  <si>
    <t>พร้อมวัสดุ</t>
  </si>
  <si>
    <t xml:space="preserve"> (30 กล./ชม.)</t>
  </si>
  <si>
    <t>อุปกรณ์</t>
  </si>
  <si>
    <t>ท่อ PVC.ยาว 4.00 ม. ชั้น 13.5  dia 2"</t>
  </si>
  <si>
    <t>180 ซม. ฑ ไม่เกิน 0.05 ม. หรือตู้เหล็กบาน</t>
  </si>
  <si>
    <t xml:space="preserve">น้ำยาเชื่อมท่อ PVC. ขนาด 500 กรัม </t>
  </si>
  <si>
    <t>กระป่อง</t>
  </si>
  <si>
    <t>เทศบาลตำบลทุ่งหลวง</t>
  </si>
  <si>
    <t>เจ้าของโครงการ เทศบาลตำบลทุ่งหลวง</t>
  </si>
  <si>
    <t>(ควนเนียง)</t>
  </si>
  <si>
    <t>ปีงบประมาณ 256๖</t>
  </si>
  <si>
    <t>บ้านวังใหญ่ หมู่ที่ ๕ ตำบลทุ่งหลวง</t>
  </si>
  <si>
    <t xml:space="preserve">อำเภอเวียงสระ จังหวัดสุราษฎร์ธานี </t>
  </si>
  <si>
    <t>กองช่าง เทศบาลตำบลทุ่งหลวง</t>
  </si>
  <si>
    <t>เหล็กเส้นกลมผิวเรียบ ขนาด ศก .6  มม.</t>
  </si>
  <si>
    <t>คอนกรีต 1 : 2 : 4</t>
  </si>
  <si>
    <t>ทรายหยาบ</t>
  </si>
  <si>
    <t>สาย NYY. ขนาด 2x16 sq.mm.</t>
  </si>
  <si>
    <t>สาย  VCT. ขนาด 2x1.5 sq.mm.</t>
  </si>
  <si>
    <t>ตู้พลาสติกกันฝน ขนาด 300x280x130 มม.</t>
  </si>
  <si>
    <t>ข้อต่อกันน้ำ(หัวงูเห่า)</t>
  </si>
  <si>
    <t>ท่อร้อยสายไฟ HDPE. ขนาด 40 มม.</t>
  </si>
  <si>
    <t>[ ] ปักเสา คอร. ยาว 8.00 ม. จำนวน 2 ต้น</t>
  </si>
  <si>
    <t>พร้อมพาดสายไฟฟ้าอูมิเนียมหุ้มฉนวน ขนาด</t>
  </si>
  <si>
    <t xml:space="preserve"> 50 ตร.ม. จำนวน 2 เส้น</t>
  </si>
  <si>
    <t>1.๑ การประสานท่อระหว่างระบบ</t>
  </si>
  <si>
    <t xml:space="preserve">1.๒ การประสานท่อที่ปากบ่อบาดาล </t>
  </si>
  <si>
    <t xml:space="preserve">1.๓ ดินถม </t>
  </si>
  <si>
    <t xml:space="preserve">1.๔ ทดสอบการรับน้ำหนักบรรทุกของดิน </t>
  </si>
  <si>
    <t xml:space="preserve">1.๕ การประสานระบบไฟฟ้าภายใน </t>
  </si>
  <si>
    <r>
      <t xml:space="preserve">1.๖ บ่อบาดาล PVC. ขนาด </t>
    </r>
    <r>
      <rPr>
        <sz val="11"/>
        <rFont val="Symbol"/>
        <family val="1"/>
        <charset val="2"/>
      </rPr>
      <t>ฦ</t>
    </r>
    <r>
      <rPr>
        <sz val="16"/>
        <rFont val="TH SarabunIT๙"/>
        <family val="2"/>
      </rPr>
      <t xml:space="preserve"> 6 นิ้ว </t>
    </r>
  </si>
  <si>
    <t xml:space="preserve">1.๗ ถังกรองสนิมเหล็ก ขนาด 7 ลบ.ม./ชม. </t>
  </si>
  <si>
    <t>1.๘ หอถังสูงเหล็กทรงรูปถ้วยเชมเปญ ขนาดจุ 15 ลบ.ม.</t>
  </si>
  <si>
    <t xml:space="preserve">1.๙ ระบบท่อส่งน้ำดิบ </t>
  </si>
  <si>
    <t>1.1๐ ระบบท่อจ่ายน้ำประปา</t>
  </si>
  <si>
    <t>1.1๑ ป้ายโครงการ</t>
  </si>
  <si>
    <t>การประสานระบบไฟฟ้าภายนอก</t>
  </si>
  <si>
    <t>สามทางเหล็กอาบสังกะสี dia 2"</t>
  </si>
  <si>
    <t>ข้องอเหล็กอาบสังกะสี 45,90 ม-ม dia 2"</t>
  </si>
  <si>
    <t>นิปเปิ้ลเหล็กอาบสังกะสี dia 2"</t>
  </si>
  <si>
    <t>ชุดประกอบปิดปากบ่อ dia 6" (ป้องกันน้ำท่วม)</t>
  </si>
  <si>
    <t>เช็ควาล์วทองเหลือง dia 2"</t>
  </si>
  <si>
    <t>ประตูน้ำบอลวาล์ว dia 2"</t>
  </si>
  <si>
    <t>สวิทซ์น้ำไหล dia 2"</t>
  </si>
  <si>
    <t>มาตรวัดน้ำแบบแม่เหล็ก 2 ชั้น ขนาด dia 2"</t>
  </si>
  <si>
    <t>อุปกรณ์อื่นๆ</t>
  </si>
  <si>
    <t>ตู้เหล็กกันน้ำมีหลังคา(ใส่ตู้ปรับแรงดันเพิ่มไฟฟ้า)ฝา2ชั้น</t>
  </si>
  <si>
    <t>ขนาด 640 x 920 x 250 มม.</t>
  </si>
  <si>
    <t>เครื่องปรับแรงดันไฟฟ้าอัตโนมัติ .</t>
  </si>
  <si>
    <t xml:space="preserve">ขนาด 15 KVA </t>
  </si>
  <si>
    <t>ขุดดิน ถมดิน</t>
  </si>
  <si>
    <t>ยูเนียนเหล็กอาบสังกะสี dia 1/2"x1/4"</t>
  </si>
  <si>
    <t>เสาเข็ม คอร. ขนาด [/] 0.20 x 0.20 x 6.00 ม.</t>
  </si>
  <si>
    <t xml:space="preserve"> รับน้ำหนักบรรทุกได้ไม่น้อยกว่า 4.0 ตัน/ต้น</t>
  </si>
  <si>
    <t>ผ่าคอนกรีตพร้อมซ่อมแซม</t>
  </si>
  <si>
    <t>คัตเอาท์หลังเต่า 2P 60A</t>
  </si>
  <si>
    <t xml:space="preserve">สามทาง PVC. Dia 2" ลด 1/ 2" </t>
  </si>
  <si>
    <t>ข้องอ 90 PVC. dia1/ 2"</t>
  </si>
  <si>
    <t>คอนกรีต 1 : 2 : 4 (ซีเมนต์ไม่น้อยกว่า 240 กก/ลบ.ม.)</t>
  </si>
  <si>
    <t>อุปกรณ์ระบบท่อน้ำภายนอกถังกรองสนิมเหล็ก</t>
  </si>
  <si>
    <t>ท่อเหล็กอาบสังกะสี+ข้อต่อยาว6ม. dia 2 1/2"</t>
  </si>
  <si>
    <t>ข้อต่อยีโบลท์ ขนาด dia 2 1/2"</t>
  </si>
  <si>
    <t>ข้องอฉากเหล็ก ขนาด dia 2 1/2"</t>
  </si>
  <si>
    <t>ประตูน้ำแบบบอลล์วาล์ว ขนาด dia 2 1/2"</t>
  </si>
  <si>
    <t>ยูเนี่ยนเหล็ก ขนาด dia 2 1/2"</t>
  </si>
  <si>
    <t>นิปเปิ้ลเหล็ก ขนาด dia 2 1/2"</t>
  </si>
  <si>
    <t>ข้อต่อสามทางเหล็ก ขนาด 65X65X65 มิลลิเมตร</t>
  </si>
  <si>
    <t xml:space="preserve">สามทาง เหล็กอาบสังกะสี dia. 2" </t>
  </si>
  <si>
    <t>ข้องอเหล็กอาบสังกะสี 90 ม-ม dia2 1/2"</t>
  </si>
  <si>
    <t>ข้อต่อตรงลดเหล็ก dia 3"ลด2  1/2"</t>
  </si>
  <si>
    <t xml:space="preserve">ฝาปิด PVC. dia1/ 2" </t>
  </si>
  <si>
    <t>ข้องอ 45 PVC. Dia 2"</t>
  </si>
  <si>
    <t>หน้าจานเกลียว PVC. Dia 2"</t>
  </si>
  <si>
    <t>ข้อต่อเกลียวนอก PVC. Dia 2"</t>
  </si>
  <si>
    <t>มาตรวัดน้ำ (2ชั้น แม่เหล็ก) Dia 2"</t>
  </si>
  <si>
    <t>สามทาง PVC. Dia 2"  ชั้น 13.5</t>
  </si>
  <si>
    <t>ท่อ PVC. ยาว 4.00 ม. ชั้น 13.5 dia1/ 2"</t>
  </si>
  <si>
    <t xml:space="preserve">สถานที่ก่อสร้าง บ้านปากน้ำ หมู่ที่ ๑3 ตำบลทุ่งหลวง อำเภอเวียงสระ จังหวัดสุราษฎร์ธานี </t>
  </si>
  <si>
    <t>ท่อ PVC. ยาว 4.00 ม. ชั้น 13.5 dia 2"</t>
  </si>
  <si>
    <t>ลวดสลิงแขวนเครื่องสูบน้ำ ศก.3/8 หรือ</t>
  </si>
  <si>
    <t>หรือเชือก ศก. 5/8 นิ้ว</t>
  </si>
  <si>
    <t xml:space="preserve">ขนาด 2 แรงม้า </t>
  </si>
  <si>
    <t>สายไฟฟ้า ชนิด VCT ขนาด 3 x 2.5 ตร.มม.</t>
  </si>
  <si>
    <t>ขนาด 2 แรงม้า 14 ใบพัด</t>
  </si>
  <si>
    <t>สะพานไฟ  ขนาด 100 A. พร้อมระบบกราวด์</t>
  </si>
  <si>
    <t>ข้อต่อลดPVC. Dia 2 1/2"ลด 2"</t>
  </si>
  <si>
    <t>อุปกรณ์ อื่นๆ</t>
  </si>
  <si>
    <t>ท่อ PVC. ยาว 4.00 ม. ชั้น 13.5 dia 3"</t>
  </si>
  <si>
    <t>ข้อต่อเกลียวนอก PVC. Dia 3"</t>
  </si>
  <si>
    <t>ท่อ PVC. ยาว 4.00 ม. ชั้น 13.5 dia 2 1/2"</t>
  </si>
  <si>
    <t>ยูเนียนเหล็กอาบสังกะสี dia 3"</t>
  </si>
  <si>
    <t>คิดเป็นเงินค่าก่อสร้างประมาณ</t>
  </si>
  <si>
    <t xml:space="preserve">แบบเลขที่ </t>
  </si>
  <si>
    <t>เป็นเงิน(บาท)</t>
  </si>
  <si>
    <t xml:space="preserve">ก่อสร้างระบบประปาหมู่บ้าน (ปากน้ำ 3) </t>
  </si>
  <si>
    <r>
      <t xml:space="preserve">บ่อบาดาล PVC. ขนาด </t>
    </r>
    <r>
      <rPr>
        <b/>
        <sz val="11"/>
        <rFont val="TH SarabunIT๙"/>
        <family val="2"/>
      </rPr>
      <t>ฦ</t>
    </r>
    <r>
      <rPr>
        <b/>
        <sz val="14"/>
        <rFont val="TH SarabunIT๙"/>
        <family val="2"/>
      </rPr>
      <t xml:space="preserve"> ๖ นิ้ว ความลึก 10๐ เมตร  </t>
    </r>
  </si>
  <si>
    <t>ได้ตรวจสอบแล้วเห็นชอบกับราคาค่าก่อสร้างและให้ยึดถือประมาณราคานี้เป็นราคากลาง</t>
  </si>
  <si>
    <t xml:space="preserve">            (นายสมใจ  ชัยประดิษฐ์)</t>
  </si>
  <si>
    <t xml:space="preserve">            (นายสุริยาวุธ  ทัพพุน)</t>
  </si>
  <si>
    <t xml:space="preserve">            ผู้อำนวยการกองช่าง</t>
  </si>
  <si>
    <t xml:space="preserve">             วิศวกรโยธาปฏิบัติการ</t>
  </si>
  <si>
    <t xml:space="preserve">                     นายกเทศมนตรีตำบลทุ่งหลวง</t>
  </si>
  <si>
    <t xml:space="preserve">                   ( นายสมศักดิ์  นวลแก้ว)</t>
  </si>
  <si>
    <t xml:space="preserve">              (นายดุสิต  โต๊ะแอ)                                                         (นางกรรณิกา   ชัยเมือง )</t>
  </si>
  <si>
    <t xml:space="preserve">              ปลัดเทศบาลตำบลทุ่งหลวง                                                       ผู้อำนวยการกองคลัง</t>
  </si>
  <si>
    <t xml:space="preserve">           ลงชื่อ...............................................ประธานกรรมการ       ลงชื่อ..................................................หัวหน้าเจ้าหน้าที่พัสดุ</t>
  </si>
  <si>
    <t>คำสั่งที่804/2568  ลงวันที่ 21 พฤศจิกายน 2568</t>
  </si>
  <si>
    <t>สฎ</t>
  </si>
  <si>
    <t>นศ</t>
  </si>
  <si>
    <t>สฎ+200</t>
  </si>
  <si>
    <t>กบ</t>
  </si>
  <si>
    <t>สฎ 180</t>
  </si>
  <si>
    <t>สฎ 240</t>
  </si>
  <si>
    <t>งอ 90  2นิ้ว สฎ</t>
  </si>
  <si>
    <t>291.59/4 สฎ</t>
  </si>
  <si>
    <t xml:space="preserve">              (นายดุสิต  โต๊ะแอ)                                         (นางกรรณิกา   ชัยเมือง )</t>
  </si>
  <si>
    <t xml:space="preserve">              ปลัดเทศบาลตำบลทุ่งหลวง                                        ผู้อำนวยการกองคลัง</t>
  </si>
  <si>
    <t xml:space="preserve">            ลงชื่อ.......................................................กรรมการ          เห็นชอบ............................................................</t>
  </si>
  <si>
    <t xml:space="preserve">              ( นายดุสิต  โต๊ะแอ )</t>
  </si>
  <si>
    <t xml:space="preserve">           ปลัดเทศบาลตำบลทุ่งหลวง</t>
  </si>
  <si>
    <t xml:space="preserve">      ลงชื่อ.......................................................กรรมการ                 อนุมัติ............................................................</t>
  </si>
  <si>
    <t xml:space="preserve">        ( นายสมศักดิ์  นวลแก้ว)</t>
  </si>
  <si>
    <t xml:space="preserve">           นายกเทศมนตรีตำบลทุ่งหลวง</t>
  </si>
  <si>
    <t xml:space="preserve">                  ( นายดุสิต  โต๊ะแอ )</t>
  </si>
  <si>
    <t xml:space="preserve">            ลงชื่อ.......................................................กรรมการ        เห็นชอบ............................................................</t>
  </si>
  <si>
    <t xml:space="preserve">               ปลัดเทศบาลตำบลทุ่งหลวง</t>
  </si>
  <si>
    <t xml:space="preserve">              ปลัดเทศบาลตำบลทุ่งหลวง                                                ผู้อำนวยการกองคลัง</t>
  </si>
  <si>
    <t xml:space="preserve">              (นายดุสิต  โต๊ะแอ)                                                  (นางกรรณิกา   ชัยเมือง )</t>
  </si>
  <si>
    <t xml:space="preserve">      ลงชื่อ.......................................................กรรมการ               อนุมัติ............................................................</t>
  </si>
  <si>
    <t xml:space="preserve">            ลงชื่อ.......................................................กรรมการ            เห็นชอบ............................................................</t>
  </si>
  <si>
    <t xml:space="preserve">                                             ( นายดุสิต  โต๊ะแอ )</t>
  </si>
  <si>
    <t xml:space="preserve">              ปลัดเทศบาลตำบลทุ่งหลวง</t>
  </si>
  <si>
    <t xml:space="preserve">      ลงชื่อ.......................................................กรรมการ                    อนุมัติ............................................................</t>
  </si>
  <si>
    <t xml:space="preserve">   ( นายสมศักดิ์  นวลแก้ว)</t>
  </si>
  <si>
    <t xml:space="preserve">             นายกเทศมนตรีตำบลทุ่งหลวง</t>
  </si>
  <si>
    <t>คำสั่งที่ 804/2568  ลงวันที่ 21 พฤศจิกายน 2568</t>
  </si>
  <si>
    <t>เสา คสล. ขนาด 5 นิ้ว ยาว 4 เมตร</t>
  </si>
  <si>
    <t>เมื่อวันที่  1 ธันวาคม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</si>
</sst>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-* #,##0.00_-;\-* #,##0.00_-;_-* &quot;-&quot;??_-;_-@_-"/>
    <numFmt numFmtId="187" formatCode="#,##0.00\ &quot;บาท&quot;;\-#,##0.00\ &quot;บาท&quot;"/>
    <numFmt numFmtId="188" formatCode="_-* #,##0_บ_า_ท_-;\-* #,##0_บ_า_ท_-;_-* &quot;-&quot;_บ_า_ท_-;_-@_-"/>
    <numFmt numFmtId="189" formatCode="_-* #,##0.00_บ_า_ท_-;\-* #,##0.00_บ_า_ท_-;_-* &quot;-&quot;??_บ_า_ท_-;_-@_-"/>
    <numFmt numFmtId="190" formatCode="#,##0_ ;\-#,##0\ "/>
    <numFmt numFmtId="191" formatCode="#,##0.00_ ;\-#,##0.00\ "/>
    <numFmt numFmtId="192" formatCode="#,##0.0"/>
    <numFmt numFmtId="193" formatCode="0.000"/>
    <numFmt numFmtId="194" formatCode="#,##0.0000"/>
    <numFmt numFmtId="195" formatCode="#,##0.000000"/>
    <numFmt numFmtId="196" formatCode="d\ ดดด\ bb"/>
    <numFmt numFmtId="197" formatCode="0.0000"/>
    <numFmt numFmtId="198" formatCode="0.00_)"/>
    <numFmt numFmtId="199" formatCode="_-* #,##0_-;\-* #,##0_-;_-* &quot;-&quot;??_-;_-@_-"/>
    <numFmt numFmtId="200" formatCode="0.0"/>
    <numFmt numFmtId="201" formatCode="[$-D00041E]#,##0"/>
    <numFmt numFmtId="202" formatCode="[$-D00041E]0"/>
    <numFmt numFmtId="203" formatCode="[$-D00041E]#,##0.0"/>
    <numFmt numFmtId="204" formatCode="[$-D00041E]#,##0.00"/>
    <numFmt numFmtId="205" formatCode="[$-D00041E]#,##0.0000"/>
    <numFmt numFmtId="206" formatCode="[$-D00041E]#,##0.000"/>
    <numFmt numFmtId="207" formatCode="[$-D00041E]0.00"/>
    <numFmt numFmtId="208" formatCode="[$-D00041E]#,##0.0000000000"/>
    <numFmt numFmtId="209" formatCode="#,##0.000"/>
    <numFmt numFmtId="210" formatCode="_(* #,##0.0000_);_(* \(#,##0.0000\);_(* &quot;-&quot;????_);_(@_)"/>
  </numFmts>
  <fonts count="90" x14ac:knownFonts="1">
    <font>
      <sz val="14"/>
      <name val="CordiaUPC"/>
    </font>
    <font>
      <b/>
      <sz val="14"/>
      <name val="CordiaUPC"/>
      <family val="2"/>
    </font>
    <font>
      <b/>
      <i/>
      <sz val="14"/>
      <name val="CordiaUPC"/>
      <family val="2"/>
    </font>
    <font>
      <sz val="14"/>
      <name val="CordiaUPC"/>
      <family val="2"/>
    </font>
    <font>
      <sz val="14"/>
      <name val="CordiaUPC"/>
      <family val="2"/>
      <charset val="222"/>
    </font>
    <font>
      <sz val="14"/>
      <name val="AngsanaUPC"/>
      <family val="1"/>
    </font>
    <font>
      <b/>
      <i/>
      <sz val="16"/>
      <name val="Helv"/>
    </font>
    <font>
      <sz val="14"/>
      <name val="Cordia New"/>
      <family val="2"/>
    </font>
    <font>
      <sz val="13"/>
      <name val="CordiaUPC"/>
      <family val="2"/>
      <charset val="222"/>
    </font>
    <font>
      <sz val="12"/>
      <name val="CordiaUPC"/>
      <family val="2"/>
      <charset val="222"/>
    </font>
    <font>
      <b/>
      <sz val="14"/>
      <name val="CordiaUPC"/>
      <family val="2"/>
      <charset val="222"/>
    </font>
    <font>
      <b/>
      <sz val="14"/>
      <name val="CordiaUPC"/>
      <family val="2"/>
    </font>
    <font>
      <sz val="14"/>
      <color indexed="12"/>
      <name val="CordiaUPC"/>
      <family val="2"/>
      <charset val="222"/>
    </font>
    <font>
      <b/>
      <sz val="14"/>
      <color indexed="10"/>
      <name val="CordiaUPC"/>
      <family val="2"/>
      <charset val="222"/>
    </font>
    <font>
      <sz val="14"/>
      <color indexed="8"/>
      <name val="CordiaUPC"/>
      <family val="2"/>
      <charset val="222"/>
    </font>
    <font>
      <b/>
      <sz val="14"/>
      <color indexed="8"/>
      <name val="CordiaUPC"/>
      <family val="2"/>
      <charset val="222"/>
    </font>
    <font>
      <vertAlign val="superscript"/>
      <sz val="14"/>
      <color indexed="8"/>
      <name val="CordiaUPC"/>
      <family val="2"/>
      <charset val="222"/>
    </font>
    <font>
      <b/>
      <i/>
      <sz val="14"/>
      <color indexed="8"/>
      <name val="CordiaUPC"/>
      <family val="2"/>
      <charset val="222"/>
    </font>
    <font>
      <b/>
      <sz val="14"/>
      <color indexed="8"/>
      <name val="CordiaUPC"/>
      <family val="2"/>
    </font>
    <font>
      <i/>
      <sz val="14"/>
      <color indexed="12"/>
      <name val="CordiaUPC"/>
      <family val="2"/>
    </font>
    <font>
      <b/>
      <sz val="12"/>
      <name val="CordiaUPC"/>
      <family val="2"/>
      <charset val="222"/>
    </font>
    <font>
      <b/>
      <i/>
      <sz val="12"/>
      <name val="CordiaUPC"/>
      <family val="2"/>
      <charset val="222"/>
    </font>
    <font>
      <b/>
      <i/>
      <sz val="14"/>
      <name val="CordiaUPC"/>
      <family val="2"/>
    </font>
    <font>
      <sz val="14"/>
      <color indexed="8"/>
      <name val="CordiaUPC"/>
      <family val="2"/>
    </font>
    <font>
      <i/>
      <sz val="14"/>
      <name val="CordiaUPC"/>
      <family val="2"/>
    </font>
    <font>
      <sz val="14"/>
      <color indexed="39"/>
      <name val="CordiaUPC"/>
      <family val="2"/>
      <charset val="222"/>
    </font>
    <font>
      <sz val="16"/>
      <name val="AngsanaUPC"/>
      <family val="1"/>
    </font>
    <font>
      <sz val="8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u/>
      <sz val="14"/>
      <name val="TH SarabunPSK"/>
      <family val="2"/>
    </font>
    <font>
      <sz val="16"/>
      <name val="TH SarabunIT๙"/>
      <family val="2"/>
    </font>
    <font>
      <b/>
      <sz val="22"/>
      <name val="TH SarabunIT๙"/>
      <family val="2"/>
    </font>
    <font>
      <b/>
      <sz val="20"/>
      <name val="TH SarabunIT๙"/>
      <family val="2"/>
    </font>
    <font>
      <b/>
      <sz val="26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  <font>
      <b/>
      <sz val="16"/>
      <name val="TH SarabunIT๙"/>
      <family val="2"/>
    </font>
    <font>
      <b/>
      <sz val="24"/>
      <name val="TH SarabunIT๙"/>
      <family val="2"/>
    </font>
    <font>
      <sz val="22"/>
      <name val="TH SarabunIT๙"/>
      <family val="2"/>
    </font>
    <font>
      <sz val="16"/>
      <color indexed="12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color indexed="8"/>
      <name val="TH SarabunIT๙"/>
      <family val="2"/>
    </font>
    <font>
      <sz val="16"/>
      <color indexed="10"/>
      <name val="TH SarabunIT๙"/>
      <family val="2"/>
    </font>
    <font>
      <sz val="16"/>
      <color indexed="56"/>
      <name val="TH SarabunIT๙"/>
      <family val="2"/>
    </font>
    <font>
      <sz val="11"/>
      <name val="TH SarabunIT๙"/>
      <family val="2"/>
    </font>
    <font>
      <sz val="14"/>
      <color indexed="10"/>
      <name val="TH SarabunIT๙"/>
      <family val="2"/>
    </font>
    <font>
      <sz val="14"/>
      <color indexed="56"/>
      <name val="TH SarabunIT๙"/>
      <family val="2"/>
    </font>
    <font>
      <sz val="14"/>
      <color indexed="8"/>
      <name val="TH SarabunIT๙"/>
      <family val="2"/>
    </font>
    <font>
      <u/>
      <sz val="16"/>
      <name val="TH SarabunIT๙"/>
      <family val="2"/>
    </font>
    <font>
      <b/>
      <u/>
      <sz val="16"/>
      <name val="TH SarabunIT๙"/>
      <family val="2"/>
    </font>
    <font>
      <vertAlign val="superscript"/>
      <sz val="16"/>
      <name val="TH SarabunIT๙"/>
      <family val="2"/>
    </font>
    <font>
      <b/>
      <sz val="36"/>
      <name val="TH SarabunIT๙"/>
      <family val="2"/>
    </font>
    <font>
      <b/>
      <u/>
      <sz val="20"/>
      <name val="TH SarabunIT๙"/>
      <family val="2"/>
    </font>
    <font>
      <sz val="20"/>
      <name val="TH SarabunIT๙"/>
      <family val="2"/>
    </font>
    <font>
      <b/>
      <sz val="16"/>
      <color indexed="8"/>
      <name val="TH SarabunIT๙"/>
      <family val="2"/>
    </font>
    <font>
      <b/>
      <sz val="16"/>
      <color indexed="10"/>
      <name val="TH SarabunIT๙"/>
      <family val="2"/>
    </font>
    <font>
      <sz val="16"/>
      <color indexed="14"/>
      <name val="TH SarabunIT๙"/>
      <family val="2"/>
    </font>
    <font>
      <b/>
      <i/>
      <sz val="14"/>
      <name val="TH SarabunIT๙"/>
      <family val="2"/>
    </font>
    <font>
      <i/>
      <sz val="14"/>
      <name val="TH SarabunIT๙"/>
      <family val="2"/>
    </font>
    <font>
      <b/>
      <sz val="11"/>
      <name val="TH SarabunIT๙"/>
      <family val="2"/>
    </font>
    <font>
      <sz val="12"/>
      <name val="TH SarabunIT๙"/>
      <family val="2"/>
    </font>
    <font>
      <b/>
      <u/>
      <sz val="15"/>
      <name val="TH SarabunIT๙"/>
      <family val="2"/>
    </font>
    <font>
      <sz val="15"/>
      <name val="TH SarabunIT๙"/>
      <family val="2"/>
    </font>
    <font>
      <b/>
      <sz val="28"/>
      <name val="TH SarabunIT๙"/>
      <family val="2"/>
    </font>
    <font>
      <b/>
      <u/>
      <sz val="18"/>
      <name val="TH SarabunIT๙"/>
      <family val="2"/>
    </font>
    <font>
      <b/>
      <sz val="20"/>
      <color indexed="12"/>
      <name val="TH SarabunIT๙"/>
      <family val="2"/>
    </font>
    <font>
      <b/>
      <sz val="16"/>
      <color indexed="12"/>
      <name val="TH SarabunIT๙"/>
      <family val="2"/>
    </font>
    <font>
      <sz val="11"/>
      <name val="Symbol"/>
      <family val="1"/>
      <charset val="2"/>
    </font>
    <font>
      <b/>
      <sz val="12"/>
      <name val="TH SarabunIT๙"/>
      <family val="2"/>
    </font>
    <font>
      <sz val="10"/>
      <name val="TH SarabunIT๙"/>
      <family val="2"/>
    </font>
    <font>
      <b/>
      <u/>
      <sz val="12"/>
      <name val="TH SarabunIT๙"/>
      <family val="2"/>
    </font>
    <font>
      <sz val="24"/>
      <name val="TH SarabunIT๙"/>
      <family val="2"/>
    </font>
    <font>
      <sz val="16"/>
      <name val="AngsanaUPC"/>
      <family val="1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u/>
      <sz val="14"/>
      <name val="Angsana New"/>
      <family val="1"/>
    </font>
    <font>
      <sz val="13"/>
      <name val="Angsana New"/>
      <family val="1"/>
    </font>
    <font>
      <sz val="11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b/>
      <sz val="10"/>
      <name val="TH SarabunIT๙"/>
      <family val="2"/>
    </font>
    <font>
      <b/>
      <sz val="13"/>
      <name val="TH SarabunIT๙"/>
      <family val="2"/>
    </font>
    <font>
      <sz val="13"/>
      <name val="TH SarabunIT๙"/>
      <family val="2"/>
    </font>
    <font>
      <u/>
      <sz val="14"/>
      <name val="TH SarabunIT๙"/>
      <family val="2"/>
    </font>
    <font>
      <b/>
      <u/>
      <sz val="14"/>
      <name val="TH SarabunIT๙"/>
      <family val="2"/>
    </font>
    <font>
      <sz val="15"/>
      <name val="AngsanaUPC"/>
      <family val="1"/>
      <charset val="222"/>
    </font>
    <font>
      <sz val="11"/>
      <color theme="1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Trellis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lightGray">
        <fgColor indexed="9"/>
        <bgColor indexed="47"/>
      </patternFill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4">
    <xf numFmtId="0" fontId="0" fillId="0" borderId="0"/>
    <xf numFmtId="43" fontId="7" fillId="0" borderId="0" applyFont="0" applyFill="0" applyBorder="0" applyAlignment="0" applyProtection="0"/>
    <xf numFmtId="198" fontId="6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189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75" fillId="0" borderId="0"/>
    <xf numFmtId="0" fontId="7" fillId="0" borderId="0"/>
    <xf numFmtId="0" fontId="88" fillId="0" borderId="0"/>
  </cellStyleXfs>
  <cellXfs count="1537">
    <xf numFmtId="0" fontId="0" fillId="0" borderId="0" xfId="0"/>
    <xf numFmtId="0" fontId="0" fillId="0" borderId="1" xfId="0" applyBorder="1"/>
    <xf numFmtId="0" fontId="0" fillId="0" borderId="0" xfId="0" applyAlignment="1">
      <alignment horizontal="centerContinuous"/>
    </xf>
    <xf numFmtId="4" fontId="1" fillId="0" borderId="0" xfId="0" applyNumberFormat="1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centerContinuous"/>
    </xf>
    <xf numFmtId="0" fontId="1" fillId="0" borderId="4" xfId="0" applyFont="1" applyBorder="1"/>
    <xf numFmtId="0" fontId="2" fillId="0" borderId="4" xfId="0" applyFont="1" applyBorder="1" applyAlignment="1">
      <alignment horizontal="centerContinuous"/>
    </xf>
    <xf numFmtId="0" fontId="2" fillId="0" borderId="4" xfId="0" applyFont="1" applyBorder="1"/>
    <xf numFmtId="0" fontId="10" fillId="0" borderId="4" xfId="0" applyFont="1" applyBorder="1"/>
    <xf numFmtId="0" fontId="21" fillId="0" borderId="4" xfId="0" applyFont="1" applyBorder="1" applyAlignment="1">
      <alignment vertical="center"/>
    </xf>
    <xf numFmtId="0" fontId="2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96" fontId="2" fillId="0" borderId="4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20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4" fontId="1" fillId="0" borderId="8" xfId="0" applyNumberFormat="1" applyFont="1" applyBorder="1"/>
    <xf numFmtId="197" fontId="1" fillId="0" borderId="8" xfId="0" applyNumberFormat="1" applyFont="1" applyBorder="1"/>
    <xf numFmtId="0" fontId="8" fillId="0" borderId="8" xfId="0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187" fontId="3" fillId="0" borderId="10" xfId="0" applyNumberFormat="1" applyFont="1" applyBorder="1" applyAlignment="1">
      <alignment horizontal="left"/>
    </xf>
    <xf numFmtId="187" fontId="1" fillId="0" borderId="8" xfId="0" applyNumberFormat="1" applyFont="1" applyBorder="1" applyAlignment="1">
      <alignment horizontal="left"/>
    </xf>
    <xf numFmtId="10" fontId="1" fillId="0" borderId="10" xfId="0" applyNumberFormat="1" applyFont="1" applyBorder="1"/>
    <xf numFmtId="0" fontId="1" fillId="0" borderId="8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0" fillId="0" borderId="11" xfId="0" applyBorder="1"/>
    <xf numFmtId="0" fontId="1" fillId="0" borderId="7" xfId="0" applyFont="1" applyBorder="1" applyAlignment="1">
      <alignment horizontal="right"/>
    </xf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Continuous"/>
    </xf>
    <xf numFmtId="0" fontId="22" fillId="2" borderId="4" xfId="0" applyFont="1" applyFill="1" applyBorder="1"/>
    <xf numFmtId="2" fontId="10" fillId="2" borderId="4" xfId="0" applyNumberFormat="1" applyFont="1" applyFill="1" applyBorder="1" applyAlignment="1">
      <alignment horizontal="centerContinuous"/>
    </xf>
    <xf numFmtId="191" fontId="10" fillId="2" borderId="4" xfId="0" applyNumberFormat="1" applyFont="1" applyFill="1" applyBorder="1" applyAlignment="1">
      <alignment horizontal="centerContinuous"/>
    </xf>
    <xf numFmtId="3" fontId="10" fillId="2" borderId="4" xfId="0" applyNumberFormat="1" applyFont="1" applyFill="1" applyBorder="1" applyAlignment="1">
      <alignment horizontal="centerContinuous"/>
    </xf>
    <xf numFmtId="4" fontId="10" fillId="2" borderId="4" xfId="0" applyNumberFormat="1" applyFont="1" applyFill="1" applyBorder="1" applyAlignment="1">
      <alignment horizontal="centerContinuous"/>
    </xf>
    <xf numFmtId="0" fontId="0" fillId="2" borderId="4" xfId="0" applyFill="1" applyBorder="1"/>
    <xf numFmtId="0" fontId="0" fillId="2" borderId="0" xfId="0" applyFill="1"/>
    <xf numFmtId="0" fontId="22" fillId="2" borderId="4" xfId="0" applyFont="1" applyFill="1" applyBorder="1" applyAlignment="1">
      <alignment horizontal="centerContinuous"/>
    </xf>
    <xf numFmtId="2" fontId="10" fillId="2" borderId="4" xfId="0" applyNumberFormat="1" applyFont="1" applyFill="1" applyBorder="1"/>
    <xf numFmtId="191" fontId="10" fillId="2" borderId="4" xfId="0" applyNumberFormat="1" applyFont="1" applyFill="1" applyBorder="1"/>
    <xf numFmtId="3" fontId="22" fillId="2" borderId="4" xfId="0" applyNumberFormat="1" applyFont="1" applyFill="1" applyBorder="1"/>
    <xf numFmtId="4" fontId="22" fillId="2" borderId="4" xfId="0" applyNumberFormat="1" applyFont="1" applyFill="1" applyBorder="1" applyAlignment="1">
      <alignment horizontal="centerContinuous"/>
    </xf>
    <xf numFmtId="0" fontId="24" fillId="2" borderId="4" xfId="0" applyFont="1" applyFill="1" applyBorder="1"/>
    <xf numFmtId="196" fontId="22" fillId="2" borderId="4" xfId="0" applyNumberFormat="1" applyFont="1" applyFill="1" applyBorder="1"/>
    <xf numFmtId="49" fontId="22" fillId="2" borderId="4" xfId="0" applyNumberFormat="1" applyFont="1" applyFill="1" applyBorder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Continuous"/>
    </xf>
    <xf numFmtId="2" fontId="10" fillId="2" borderId="0" xfId="0" applyNumberFormat="1" applyFont="1" applyFill="1"/>
    <xf numFmtId="191" fontId="10" fillId="2" borderId="0" xfId="0" applyNumberFormat="1" applyFont="1" applyFill="1" applyAlignment="1">
      <alignment horizontal="centerContinuous"/>
    </xf>
    <xf numFmtId="3" fontId="10" fillId="2" borderId="0" xfId="0" applyNumberFormat="1" applyFont="1" applyFill="1" applyAlignment="1">
      <alignment horizontal="centerContinuous"/>
    </xf>
    <xf numFmtId="4" fontId="10" fillId="2" borderId="0" xfId="0" applyNumberFormat="1" applyFont="1" applyFill="1" applyAlignment="1">
      <alignment horizontal="centerContinuous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Continuous"/>
    </xf>
    <xf numFmtId="0" fontId="10" fillId="2" borderId="14" xfId="0" applyFont="1" applyFill="1" applyBorder="1" applyAlignment="1">
      <alignment horizontal="centerContinuous"/>
    </xf>
    <xf numFmtId="2" fontId="10" fillId="2" borderId="12" xfId="0" applyNumberFormat="1" applyFont="1" applyFill="1" applyBorder="1" applyAlignment="1">
      <alignment horizontal="centerContinuous"/>
    </xf>
    <xf numFmtId="0" fontId="10" fillId="2" borderId="12" xfId="0" applyFont="1" applyFill="1" applyBorder="1" applyAlignment="1">
      <alignment horizontal="centerContinuous"/>
    </xf>
    <xf numFmtId="191" fontId="10" fillId="2" borderId="5" xfId="0" applyNumberFormat="1" applyFont="1" applyFill="1" applyBorder="1" applyAlignment="1">
      <alignment horizontal="centerContinuous"/>
    </xf>
    <xf numFmtId="3" fontId="10" fillId="2" borderId="5" xfId="0" applyNumberFormat="1" applyFont="1" applyFill="1" applyBorder="1" applyAlignment="1">
      <alignment horizontal="centerContinuous"/>
    </xf>
    <xf numFmtId="4" fontId="10" fillId="2" borderId="5" xfId="0" applyNumberFormat="1" applyFont="1" applyFill="1" applyBorder="1" applyAlignment="1">
      <alignment horizontal="centerContinuous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/>
    </xf>
    <xf numFmtId="0" fontId="4" fillId="2" borderId="0" xfId="0" applyFont="1" applyFill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2" fontId="10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191" fontId="20" fillId="2" borderId="2" xfId="0" applyNumberFormat="1" applyFont="1" applyFill="1" applyBorder="1" applyAlignment="1">
      <alignment horizontal="center"/>
    </xf>
    <xf numFmtId="3" fontId="10" fillId="2" borderId="2" xfId="0" applyNumberFormat="1" applyFont="1" applyFill="1" applyBorder="1" applyAlignment="1">
      <alignment horizontal="center"/>
    </xf>
    <xf numFmtId="4" fontId="10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4" fillId="2" borderId="2" xfId="0" applyFont="1" applyFill="1" applyBorder="1"/>
    <xf numFmtId="4" fontId="4" fillId="2" borderId="15" xfId="0" applyNumberFormat="1" applyFont="1" applyFill="1" applyBorder="1" applyAlignment="1">
      <alignment horizontal="right"/>
    </xf>
    <xf numFmtId="0" fontId="4" fillId="2" borderId="16" xfId="0" applyFont="1" applyFill="1" applyBorder="1"/>
    <xf numFmtId="0" fontId="4" fillId="2" borderId="17" xfId="0" applyFont="1" applyFill="1" applyBorder="1"/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/>
    <xf numFmtId="0" fontId="11" fillId="2" borderId="10" xfId="0" applyFont="1" applyFill="1" applyBorder="1" applyAlignment="1">
      <alignment horizontal="right"/>
    </xf>
    <xf numFmtId="2" fontId="11" fillId="2" borderId="9" xfId="0" applyNumberFormat="1" applyFont="1" applyFill="1" applyBorder="1" applyAlignment="1">
      <alignment horizontal="right"/>
    </xf>
    <xf numFmtId="0" fontId="11" fillId="2" borderId="10" xfId="0" applyFont="1" applyFill="1" applyBorder="1" applyAlignment="1">
      <alignment horizontal="left"/>
    </xf>
    <xf numFmtId="4" fontId="11" fillId="2" borderId="8" xfId="0" applyNumberFormat="1" applyFont="1" applyFill="1" applyBorder="1" applyAlignment="1">
      <alignment horizontal="right"/>
    </xf>
    <xf numFmtId="4" fontId="11" fillId="2" borderId="8" xfId="0" applyNumberFormat="1" applyFont="1" applyFill="1" applyBorder="1"/>
    <xf numFmtId="4" fontId="11" fillId="2" borderId="8" xfId="0" applyNumberFormat="1" applyFont="1" applyFill="1" applyBorder="1" applyAlignment="1">
      <alignment vertical="top" wrapText="1"/>
    </xf>
    <xf numFmtId="0" fontId="11" fillId="2" borderId="8" xfId="0" applyFont="1" applyFill="1" applyBorder="1"/>
    <xf numFmtId="0" fontId="11" fillId="2" borderId="3" xfId="0" applyFont="1" applyFill="1" applyBorder="1"/>
    <xf numFmtId="0" fontId="11" fillId="2" borderId="1" xfId="0" applyFont="1" applyFill="1" applyBorder="1" applyAlignment="1">
      <alignment horizontal="right"/>
    </xf>
    <xf numFmtId="2" fontId="11" fillId="2" borderId="3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left"/>
    </xf>
    <xf numFmtId="4" fontId="11" fillId="2" borderId="2" xfId="0" applyNumberFormat="1" applyFont="1" applyFill="1" applyBorder="1" applyAlignment="1">
      <alignment horizontal="right"/>
    </xf>
    <xf numFmtId="4" fontId="11" fillId="2" borderId="2" xfId="0" applyNumberFormat="1" applyFont="1" applyFill="1" applyBorder="1"/>
    <xf numFmtId="4" fontId="11" fillId="2" borderId="2" xfId="0" applyNumberFormat="1" applyFont="1" applyFill="1" applyBorder="1" applyAlignment="1">
      <alignment vertical="top" wrapText="1"/>
    </xf>
    <xf numFmtId="0" fontId="11" fillId="2" borderId="2" xfId="0" applyFont="1" applyFill="1" applyBorder="1"/>
    <xf numFmtId="0" fontId="0" fillId="2" borderId="0" xfId="0" applyFill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left"/>
    </xf>
    <xf numFmtId="4" fontId="0" fillId="2" borderId="15" xfId="0" applyNumberFormat="1" applyFill="1" applyBorder="1" applyAlignment="1">
      <alignment horizontal="right"/>
    </xf>
    <xf numFmtId="0" fontId="0" fillId="2" borderId="17" xfId="0" applyFill="1" applyBorder="1"/>
    <xf numFmtId="4" fontId="3" fillId="2" borderId="17" xfId="0" applyNumberFormat="1" applyFont="1" applyFill="1" applyBorder="1"/>
    <xf numFmtId="0" fontId="0" fillId="2" borderId="16" xfId="0" applyFill="1" applyBorder="1"/>
    <xf numFmtId="0" fontId="0" fillId="2" borderId="15" xfId="0" quotePrefix="1" applyFill="1" applyBorder="1" applyAlignment="1">
      <alignment horizontal="center"/>
    </xf>
    <xf numFmtId="4" fontId="1" fillId="2" borderId="2" xfId="0" applyNumberFormat="1" applyFont="1" applyFill="1" applyBorder="1"/>
    <xf numFmtId="4" fontId="1" fillId="2" borderId="15" xfId="0" applyNumberFormat="1" applyFont="1" applyFill="1" applyBorder="1"/>
    <xf numFmtId="0" fontId="0" fillId="2" borderId="0" xfId="0" applyFill="1" applyAlignment="1">
      <alignment horizontal="left"/>
    </xf>
    <xf numFmtId="4" fontId="1" fillId="2" borderId="10" xfId="0" applyNumberFormat="1" applyFont="1" applyFill="1" applyBorder="1"/>
    <xf numFmtId="4" fontId="10" fillId="2" borderId="15" xfId="0" applyNumberFormat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1" fillId="2" borderId="0" xfId="0" applyFont="1" applyFill="1"/>
    <xf numFmtId="4" fontId="0" fillId="2" borderId="17" xfId="0" applyNumberForma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2" fontId="10" fillId="2" borderId="16" xfId="0" applyNumberFormat="1" applyFont="1" applyFill="1" applyBorder="1" applyAlignment="1">
      <alignment horizontal="centerContinuous"/>
    </xf>
    <xf numFmtId="0" fontId="10" fillId="2" borderId="17" xfId="0" applyFont="1" applyFill="1" applyBorder="1" applyAlignment="1">
      <alignment horizontal="centerContinuous"/>
    </xf>
    <xf numFmtId="191" fontId="20" fillId="2" borderId="15" xfId="0" applyNumberFormat="1" applyFont="1" applyFill="1" applyBorder="1" applyAlignment="1">
      <alignment horizontal="center"/>
    </xf>
    <xf numFmtId="3" fontId="10" fillId="2" borderId="15" xfId="0" applyNumberFormat="1" applyFont="1" applyFill="1" applyBorder="1" applyAlignment="1">
      <alignment horizontal="center"/>
    </xf>
    <xf numFmtId="4" fontId="10" fillId="2" borderId="15" xfId="0" applyNumberFormat="1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left"/>
    </xf>
    <xf numFmtId="49" fontId="4" fillId="2" borderId="16" xfId="0" applyNumberFormat="1" applyFont="1" applyFill="1" applyBorder="1"/>
    <xf numFmtId="49" fontId="0" fillId="2" borderId="16" xfId="0" applyNumberFormat="1" applyFill="1" applyBorder="1"/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/>
    <xf numFmtId="0" fontId="11" fillId="2" borderId="17" xfId="0" applyFont="1" applyFill="1" applyBorder="1" applyAlignment="1">
      <alignment horizontal="right"/>
    </xf>
    <xf numFmtId="2" fontId="11" fillId="2" borderId="0" xfId="0" applyNumberFormat="1" applyFont="1" applyFill="1" applyAlignment="1">
      <alignment horizontal="right"/>
    </xf>
    <xf numFmtId="0" fontId="11" fillId="2" borderId="17" xfId="0" applyFont="1" applyFill="1" applyBorder="1" applyAlignment="1">
      <alignment horizontal="left"/>
    </xf>
    <xf numFmtId="4" fontId="11" fillId="2" borderId="17" xfId="0" applyNumberFormat="1" applyFont="1" applyFill="1" applyBorder="1" applyAlignment="1">
      <alignment horizontal="right"/>
    </xf>
    <xf numFmtId="4" fontId="11" fillId="2" borderId="15" xfId="0" applyNumberFormat="1" applyFont="1" applyFill="1" applyBorder="1"/>
    <xf numFmtId="4" fontId="11" fillId="2" borderId="15" xfId="0" applyNumberFormat="1" applyFont="1" applyFill="1" applyBorder="1" applyAlignment="1">
      <alignment vertical="top" wrapText="1"/>
    </xf>
    <xf numFmtId="0" fontId="11" fillId="2" borderId="15" xfId="0" applyFont="1" applyFill="1" applyBorder="1"/>
    <xf numFmtId="2" fontId="11" fillId="2" borderId="18" xfId="0" applyNumberFormat="1" applyFont="1" applyFill="1" applyBorder="1" applyAlignment="1">
      <alignment horizontal="right"/>
    </xf>
    <xf numFmtId="4" fontId="10" fillId="2" borderId="2" xfId="0" applyNumberFormat="1" applyFont="1" applyFill="1" applyBorder="1" applyAlignment="1">
      <alignment horizontal="right"/>
    </xf>
    <xf numFmtId="0" fontId="11" fillId="2" borderId="16" xfId="0" applyFont="1" applyFill="1" applyBorder="1" applyAlignment="1">
      <alignment horizontal="right"/>
    </xf>
    <xf numFmtId="2" fontId="11" fillId="2" borderId="16" xfId="0" applyNumberFormat="1" applyFont="1" applyFill="1" applyBorder="1" applyAlignment="1">
      <alignment horizontal="right"/>
    </xf>
    <xf numFmtId="4" fontId="11" fillId="2" borderId="15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0" fillId="2" borderId="0" xfId="0" applyFill="1" applyAlignment="1">
      <alignment horizontal="centerContinuous"/>
    </xf>
    <xf numFmtId="1" fontId="0" fillId="2" borderId="0" xfId="0" applyNumberFormat="1" applyFill="1" applyAlignment="1">
      <alignment horizontal="centerContinuous"/>
    </xf>
    <xf numFmtId="190" fontId="0" fillId="2" borderId="0" xfId="0" applyNumberFormat="1" applyFill="1" applyAlignment="1">
      <alignment horizontal="centerContinuous"/>
    </xf>
    <xf numFmtId="3" fontId="0" fillId="2" borderId="0" xfId="0" applyNumberFormat="1" applyFill="1" applyAlignment="1">
      <alignment horizontal="centerContinuous"/>
    </xf>
    <xf numFmtId="188" fontId="0" fillId="2" borderId="0" xfId="0" applyNumberFormat="1" applyFill="1" applyAlignment="1">
      <alignment horizontal="centerContinuous"/>
    </xf>
    <xf numFmtId="0" fontId="0" fillId="2" borderId="8" xfId="0" applyFill="1" applyBorder="1" applyAlignment="1">
      <alignment horizontal="center"/>
    </xf>
    <xf numFmtId="49" fontId="15" fillId="2" borderId="19" xfId="0" applyNumberFormat="1" applyFont="1" applyFill="1" applyBorder="1" applyAlignment="1">
      <alignment horizontal="right"/>
    </xf>
    <xf numFmtId="3" fontId="15" fillId="2" borderId="8" xfId="0" applyNumberFormat="1" applyFont="1" applyFill="1" applyBorder="1" applyAlignment="1">
      <alignment horizontal="right" vertical="justify"/>
    </xf>
    <xf numFmtId="0" fontId="0" fillId="2" borderId="8" xfId="0" applyFill="1" applyBorder="1"/>
    <xf numFmtId="0" fontId="14" fillId="2" borderId="0" xfId="0" applyFont="1" applyFill="1"/>
    <xf numFmtId="49" fontId="14" fillId="2" borderId="19" xfId="0" applyNumberFormat="1" applyFont="1" applyFill="1" applyBorder="1" applyAlignment="1">
      <alignment horizontal="left"/>
    </xf>
    <xf numFmtId="3" fontId="23" fillId="2" borderId="8" xfId="0" applyNumberFormat="1" applyFont="1" applyFill="1" applyBorder="1" applyAlignment="1">
      <alignment horizontal="right" vertical="justify"/>
    </xf>
    <xf numFmtId="0" fontId="0" fillId="2" borderId="20" xfId="0" applyFill="1" applyBorder="1" applyAlignment="1">
      <alignment horizontal="center"/>
    </xf>
    <xf numFmtId="49" fontId="15" fillId="2" borderId="21" xfId="0" applyNumberFormat="1" applyFont="1" applyFill="1" applyBorder="1" applyAlignment="1">
      <alignment horizontal="right"/>
    </xf>
    <xf numFmtId="3" fontId="15" fillId="2" borderId="20" xfId="0" applyNumberFormat="1" applyFont="1" applyFill="1" applyBorder="1" applyAlignment="1">
      <alignment horizontal="right" vertical="justify"/>
    </xf>
    <xf numFmtId="0" fontId="0" fillId="2" borderId="20" xfId="0" applyFill="1" applyBorder="1"/>
    <xf numFmtId="49" fontId="15" fillId="2" borderId="0" xfId="0" applyNumberFormat="1" applyFont="1" applyFill="1" applyAlignment="1">
      <alignment horizontal="right"/>
    </xf>
    <xf numFmtId="3" fontId="15" fillId="2" borderId="0" xfId="0" applyNumberFormat="1" applyFont="1" applyFill="1" applyAlignment="1">
      <alignment horizontal="right" vertical="justify"/>
    </xf>
    <xf numFmtId="0" fontId="1" fillId="2" borderId="4" xfId="0" applyFont="1" applyFill="1" applyBorder="1"/>
    <xf numFmtId="0" fontId="10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/>
    <xf numFmtId="196" fontId="2" fillId="2" borderId="4" xfId="0" applyNumberFormat="1" applyFont="1" applyFill="1" applyBorder="1" applyAlignment="1">
      <alignment horizontal="left"/>
    </xf>
    <xf numFmtId="0" fontId="17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Protection="1"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Continuous" vertical="center" wrapText="1"/>
    </xf>
    <xf numFmtId="0" fontId="15" fillId="3" borderId="5" xfId="0" applyFont="1" applyFill="1" applyBorder="1" applyAlignment="1">
      <alignment horizontal="center" vertical="justify"/>
    </xf>
    <xf numFmtId="49" fontId="14" fillId="2" borderId="8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4" fillId="2" borderId="19" xfId="0" applyFont="1" applyFill="1" applyBorder="1"/>
    <xf numFmtId="10" fontId="1" fillId="2" borderId="10" xfId="0" applyNumberFormat="1" applyFont="1" applyFill="1" applyBorder="1" applyAlignment="1">
      <alignment horizontal="left"/>
    </xf>
    <xf numFmtId="0" fontId="14" fillId="2" borderId="0" xfId="0" applyFont="1" applyFill="1" applyAlignment="1">
      <alignment horizontal="center" vertical="justify"/>
    </xf>
    <xf numFmtId="49" fontId="4" fillId="2" borderId="19" xfId="0" applyNumberFormat="1" applyFont="1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49" fontId="11" fillId="2" borderId="23" xfId="0" applyNumberFormat="1" applyFont="1" applyFill="1" applyBorder="1" applyAlignment="1">
      <alignment horizontal="right"/>
    </xf>
    <xf numFmtId="3" fontId="15" fillId="2" borderId="9" xfId="0" applyNumberFormat="1" applyFont="1" applyFill="1" applyBorder="1" applyAlignment="1">
      <alignment horizontal="right" vertical="justify"/>
    </xf>
    <xf numFmtId="0" fontId="9" fillId="2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49" fontId="12" fillId="2" borderId="11" xfId="0" quotePrefix="1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0" fillId="2" borderId="2" xfId="0" applyFill="1" applyBorder="1"/>
    <xf numFmtId="194" fontId="15" fillId="2" borderId="0" xfId="0" applyNumberFormat="1" applyFont="1" applyFill="1" applyProtection="1">
      <protection locked="0"/>
    </xf>
    <xf numFmtId="197" fontId="14" fillId="2" borderId="0" xfId="0" applyNumberFormat="1" applyFont="1" applyFill="1"/>
    <xf numFmtId="3" fontId="14" fillId="2" borderId="0" xfId="0" applyNumberFormat="1" applyFont="1" applyFill="1"/>
    <xf numFmtId="197" fontId="1" fillId="2" borderId="0" xfId="0" applyNumberFormat="1" applyFont="1" applyFill="1"/>
    <xf numFmtId="0" fontId="14" fillId="2" borderId="0" xfId="0" applyFont="1" applyFill="1" applyAlignment="1">
      <alignment vertical="justify"/>
    </xf>
    <xf numFmtId="195" fontId="18" fillId="2" borderId="0" xfId="0" applyNumberFormat="1" applyFont="1" applyFill="1"/>
    <xf numFmtId="0" fontId="19" fillId="2" borderId="0" xfId="0" applyFont="1" applyFill="1"/>
    <xf numFmtId="49" fontId="23" fillId="2" borderId="24" xfId="0" applyNumberFormat="1" applyFont="1" applyFill="1" applyBorder="1" applyAlignment="1">
      <alignment horizontal="center"/>
    </xf>
    <xf numFmtId="3" fontId="15" fillId="2" borderId="19" xfId="0" applyNumberFormat="1" applyFont="1" applyFill="1" applyBorder="1" applyAlignment="1">
      <alignment horizontal="right" vertical="justify"/>
    </xf>
    <xf numFmtId="49" fontId="14" fillId="2" borderId="19" xfId="0" quotePrefix="1" applyNumberFormat="1" applyFont="1" applyFill="1" applyBorder="1" applyAlignment="1">
      <alignment horizontal="left"/>
    </xf>
    <xf numFmtId="3" fontId="14" fillId="2" borderId="24" xfId="0" applyNumberFormat="1" applyFont="1" applyFill="1" applyBorder="1"/>
    <xf numFmtId="3" fontId="14" fillId="2" borderId="19" xfId="0" applyNumberFormat="1" applyFont="1" applyFill="1" applyBorder="1"/>
    <xf numFmtId="3" fontId="12" fillId="2" borderId="10" xfId="0" applyNumberFormat="1" applyFont="1" applyFill="1" applyBorder="1" applyProtection="1">
      <protection locked="0"/>
    </xf>
    <xf numFmtId="3" fontId="14" fillId="2" borderId="2" xfId="0" applyNumberFormat="1" applyFont="1" applyFill="1" applyBorder="1"/>
    <xf numFmtId="3" fontId="12" fillId="2" borderId="1" xfId="0" applyNumberFormat="1" applyFont="1" applyFill="1" applyBorder="1" applyProtection="1">
      <protection locked="0"/>
    </xf>
    <xf numFmtId="49" fontId="15" fillId="2" borderId="6" xfId="0" applyNumberFormat="1" applyFont="1" applyFill="1" applyBorder="1" applyAlignment="1">
      <alignment horizontal="center"/>
    </xf>
    <xf numFmtId="49" fontId="23" fillId="2" borderId="7" xfId="0" applyNumberFormat="1" applyFont="1" applyFill="1" applyBorder="1" applyAlignment="1">
      <alignment horizontal="right"/>
    </xf>
    <xf numFmtId="4" fontId="18" fillId="2" borderId="5" xfId="0" applyNumberFormat="1" applyFont="1" applyFill="1" applyBorder="1" applyAlignment="1">
      <alignment horizontal="right"/>
    </xf>
    <xf numFmtId="49" fontId="15" fillId="2" borderId="8" xfId="0" applyNumberFormat="1" applyFont="1" applyFill="1" applyBorder="1" applyAlignment="1">
      <alignment horizontal="center"/>
    </xf>
    <xf numFmtId="3" fontId="12" fillId="2" borderId="0" xfId="0" applyNumberFormat="1" applyFont="1" applyFill="1" applyProtection="1">
      <protection locked="0"/>
    </xf>
    <xf numFmtId="0" fontId="11" fillId="2" borderId="6" xfId="0" applyFont="1" applyFill="1" applyBorder="1" applyAlignment="1">
      <alignment horizontal="right"/>
    </xf>
    <xf numFmtId="0" fontId="12" fillId="2" borderId="11" xfId="0" applyFont="1" applyFill="1" applyBorder="1"/>
    <xf numFmtId="0" fontId="11" fillId="2" borderId="7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center" vertical="justify"/>
    </xf>
    <xf numFmtId="0" fontId="1" fillId="2" borderId="7" xfId="0" applyFont="1" applyFill="1" applyBorder="1" applyAlignment="1">
      <alignment horizontal="center" vertical="center" wrapText="1"/>
    </xf>
    <xf numFmtId="3" fontId="15" fillId="2" borderId="19" xfId="0" applyNumberFormat="1" applyFont="1" applyFill="1" applyBorder="1" applyAlignment="1">
      <alignment horizontal="center"/>
    </xf>
    <xf numFmtId="4" fontId="18" fillId="2" borderId="25" xfId="0" applyNumberFormat="1" applyFont="1" applyFill="1" applyBorder="1" applyAlignment="1">
      <alignment horizontal="right" vertical="center"/>
    </xf>
    <xf numFmtId="0" fontId="14" fillId="2" borderId="26" xfId="0" applyFont="1" applyFill="1" applyBorder="1" applyAlignment="1">
      <alignment horizontal="right"/>
    </xf>
    <xf numFmtId="0" fontId="14" fillId="2" borderId="8" xfId="0" applyFont="1" applyFill="1" applyBorder="1" applyAlignment="1">
      <alignment horizontal="right"/>
    </xf>
    <xf numFmtId="0" fontId="0" fillId="2" borderId="18" xfId="0" applyFill="1" applyBorder="1"/>
    <xf numFmtId="0" fontId="14" fillId="2" borderId="2" xfId="0" applyFont="1" applyFill="1" applyBorder="1" applyAlignment="1">
      <alignment horizontal="right"/>
    </xf>
    <xf numFmtId="49" fontId="18" fillId="2" borderId="11" xfId="0" applyNumberFormat="1" applyFont="1" applyFill="1" applyBorder="1" applyAlignment="1">
      <alignment horizontal="right"/>
    </xf>
    <xf numFmtId="0" fontId="15" fillId="2" borderId="0" xfId="0" applyFont="1" applyFill="1"/>
    <xf numFmtId="49" fontId="15" fillId="2" borderId="24" xfId="0" applyNumberFormat="1" applyFont="1" applyFill="1" applyBorder="1" applyAlignment="1">
      <alignment horizontal="center"/>
    </xf>
    <xf numFmtId="49" fontId="14" fillId="2" borderId="26" xfId="0" quotePrefix="1" applyNumberFormat="1" applyFont="1" applyFill="1" applyBorder="1" applyAlignment="1">
      <alignment horizontal="left"/>
    </xf>
    <xf numFmtId="49" fontId="15" fillId="2" borderId="27" xfId="0" applyNumberFormat="1" applyFont="1" applyFill="1" applyBorder="1" applyAlignment="1">
      <alignment horizontal="center"/>
    </xf>
    <xf numFmtId="49" fontId="14" fillId="2" borderId="28" xfId="0" applyNumberFormat="1" applyFont="1" applyFill="1" applyBorder="1" applyAlignment="1">
      <alignment horizontal="left"/>
    </xf>
    <xf numFmtId="49" fontId="14" fillId="2" borderId="8" xfId="0" quotePrefix="1" applyNumberFormat="1" applyFont="1" applyFill="1" applyBorder="1" applyAlignment="1">
      <alignment horizontal="left"/>
    </xf>
    <xf numFmtId="0" fontId="11" fillId="2" borderId="3" xfId="0" applyFont="1" applyFill="1" applyBorder="1" applyAlignment="1">
      <alignment horizontal="right"/>
    </xf>
    <xf numFmtId="0" fontId="12" fillId="2" borderId="18" xfId="0" applyFont="1" applyFill="1" applyBorder="1"/>
    <xf numFmtId="0" fontId="0" fillId="2" borderId="26" xfId="0" applyFill="1" applyBorder="1" applyAlignment="1">
      <alignment horizontal="center"/>
    </xf>
    <xf numFmtId="49" fontId="15" fillId="2" borderId="29" xfId="0" applyNumberFormat="1" applyFont="1" applyFill="1" applyBorder="1" applyAlignment="1">
      <alignment horizontal="right"/>
    </xf>
    <xf numFmtId="3" fontId="15" fillId="2" borderId="26" xfId="0" applyNumberFormat="1" applyFont="1" applyFill="1" applyBorder="1" applyAlignment="1">
      <alignment horizontal="right" vertical="justify"/>
    </xf>
    <xf numFmtId="0" fontId="0" fillId="2" borderId="26" xfId="0" applyFill="1" applyBorder="1"/>
    <xf numFmtId="3" fontId="10" fillId="0" borderId="8" xfId="0" applyNumberFormat="1" applyFont="1" applyBorder="1"/>
    <xf numFmtId="4" fontId="10" fillId="0" borderId="8" xfId="0" applyNumberFormat="1" applyFont="1" applyBorder="1"/>
    <xf numFmtId="0" fontId="10" fillId="0" borderId="8" xfId="0" applyFont="1" applyBorder="1"/>
    <xf numFmtId="0" fontId="10" fillId="0" borderId="9" xfId="0" applyFont="1" applyBorder="1"/>
    <xf numFmtId="3" fontId="15" fillId="2" borderId="19" xfId="0" applyNumberFormat="1" applyFont="1" applyFill="1" applyBorder="1" applyAlignment="1">
      <alignment horizontal="right"/>
    </xf>
    <xf numFmtId="0" fontId="15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justify"/>
    </xf>
    <xf numFmtId="3" fontId="14" fillId="2" borderId="0" xfId="0" applyNumberFormat="1" applyFont="1" applyFill="1" applyProtection="1">
      <protection locked="0"/>
    </xf>
    <xf numFmtId="3" fontId="23" fillId="2" borderId="0" xfId="0" applyNumberFormat="1" applyFont="1" applyFill="1" applyAlignment="1">
      <alignment horizontal="right" vertical="justify"/>
    </xf>
    <xf numFmtId="3" fontId="14" fillId="2" borderId="0" xfId="0" applyNumberFormat="1" applyFont="1" applyFill="1" applyAlignment="1">
      <alignment horizontal="left"/>
    </xf>
    <xf numFmtId="3" fontId="25" fillId="2" borderId="0" xfId="0" applyNumberFormat="1" applyFont="1" applyFill="1" applyProtection="1">
      <protection locked="0"/>
    </xf>
    <xf numFmtId="3" fontId="25" fillId="2" borderId="0" xfId="0" applyNumberFormat="1" applyFont="1" applyFill="1" applyAlignment="1">
      <alignment horizontal="right" vertical="justify"/>
    </xf>
    <xf numFmtId="3" fontId="12" fillId="2" borderId="0" xfId="0" applyNumberFormat="1" applyFont="1" applyFill="1" applyAlignment="1">
      <alignment horizontal="left"/>
    </xf>
    <xf numFmtId="3" fontId="14" fillId="2" borderId="0" xfId="0" applyNumberFormat="1" applyFont="1" applyFill="1" applyAlignment="1">
      <alignment horizontal="right"/>
    </xf>
    <xf numFmtId="0" fontId="15" fillId="4" borderId="11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3" fontId="14" fillId="2" borderId="0" xfId="0" applyNumberFormat="1" applyFont="1" applyFill="1" applyAlignment="1" applyProtection="1">
      <alignment horizontal="center"/>
      <protection locked="0"/>
    </xf>
    <xf numFmtId="194" fontId="14" fillId="2" borderId="0" xfId="0" applyNumberFormat="1" applyFont="1" applyFill="1" applyProtection="1">
      <protection locked="0"/>
    </xf>
    <xf numFmtId="194" fontId="14" fillId="2" borderId="0" xfId="0" applyNumberFormat="1" applyFont="1" applyFill="1" applyAlignment="1" applyProtection="1">
      <alignment horizontal="center"/>
      <protection locked="0"/>
    </xf>
    <xf numFmtId="4" fontId="14" fillId="2" borderId="0" xfId="0" applyNumberFormat="1" applyFont="1" applyFill="1" applyAlignment="1" applyProtection="1">
      <alignment horizontal="center"/>
      <protection locked="0"/>
    </xf>
    <xf numFmtId="192" fontId="23" fillId="2" borderId="0" xfId="0" applyNumberFormat="1" applyFont="1" applyFill="1" applyAlignment="1">
      <alignment horizontal="right" vertical="justify"/>
    </xf>
    <xf numFmtId="3" fontId="12" fillId="2" borderId="0" xfId="0" applyNumberFormat="1" applyFont="1" applyFill="1" applyAlignment="1">
      <alignment horizontal="right"/>
    </xf>
    <xf numFmtId="3" fontId="15" fillId="3" borderId="0" xfId="0" applyNumberFormat="1" applyFont="1" applyFill="1" applyProtection="1">
      <protection locked="0"/>
    </xf>
    <xf numFmtId="3" fontId="15" fillId="3" borderId="0" xfId="0" applyNumberFormat="1" applyFont="1" applyFill="1"/>
    <xf numFmtId="0" fontId="15" fillId="2" borderId="0" xfId="0" applyFont="1" applyFill="1" applyAlignment="1" applyProtection="1">
      <alignment horizontal="right"/>
      <protection locked="0"/>
    </xf>
    <xf numFmtId="195" fontId="14" fillId="5" borderId="0" xfId="0" applyNumberFormat="1" applyFont="1" applyFill="1" applyAlignment="1" applyProtection="1">
      <alignment horizontal="center"/>
      <protection locked="0"/>
    </xf>
    <xf numFmtId="194" fontId="14" fillId="6" borderId="0" xfId="0" applyNumberFormat="1" applyFont="1" applyFill="1" applyAlignment="1" applyProtection="1">
      <alignment horizontal="center"/>
      <protection locked="0"/>
    </xf>
    <xf numFmtId="0" fontId="10" fillId="2" borderId="18" xfId="0" applyFont="1" applyFill="1" applyBorder="1" applyAlignment="1">
      <alignment horizontal="right"/>
    </xf>
    <xf numFmtId="4" fontId="15" fillId="2" borderId="5" xfId="0" applyNumberFormat="1" applyFont="1" applyFill="1" applyBorder="1" applyAlignment="1">
      <alignment horizontal="right"/>
    </xf>
    <xf numFmtId="4" fontId="15" fillId="2" borderId="19" xfId="0" quotePrefix="1" applyNumberFormat="1" applyFont="1" applyFill="1" applyBorder="1" applyAlignment="1">
      <alignment horizontal="right"/>
    </xf>
    <xf numFmtId="4" fontId="15" fillId="2" borderId="28" xfId="0" quotePrefix="1" applyNumberFormat="1" applyFont="1" applyFill="1" applyBorder="1" applyAlignment="1">
      <alignment horizontal="right"/>
    </xf>
    <xf numFmtId="4" fontId="18" fillId="2" borderId="30" xfId="0" applyNumberFormat="1" applyFont="1" applyFill="1" applyBorder="1" applyAlignment="1">
      <alignment horizontal="right" vertical="center"/>
    </xf>
    <xf numFmtId="0" fontId="28" fillId="2" borderId="0" xfId="0" applyFont="1" applyFill="1"/>
    <xf numFmtId="0" fontId="29" fillId="2" borderId="0" xfId="0" applyFont="1" applyFill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6" xfId="0" applyFont="1" applyFill="1" applyBorder="1" applyAlignment="1">
      <alignment horizontal="right"/>
    </xf>
    <xf numFmtId="0" fontId="28" fillId="2" borderId="17" xfId="0" applyFont="1" applyFill="1" applyBorder="1" applyAlignment="1">
      <alignment horizontal="left"/>
    </xf>
    <xf numFmtId="191" fontId="28" fillId="2" borderId="15" xfId="0" applyNumberFormat="1" applyFont="1" applyFill="1" applyBorder="1" applyAlignment="1">
      <alignment horizontal="right"/>
    </xf>
    <xf numFmtId="4" fontId="28" fillId="2" borderId="15" xfId="0" applyNumberFormat="1" applyFont="1" applyFill="1" applyBorder="1" applyAlignment="1">
      <alignment horizontal="right"/>
    </xf>
    <xf numFmtId="4" fontId="29" fillId="2" borderId="17" xfId="0" applyNumberFormat="1" applyFont="1" applyFill="1" applyBorder="1"/>
    <xf numFmtId="0" fontId="28" fillId="2" borderId="14" xfId="0" applyFont="1" applyFill="1" applyBorder="1"/>
    <xf numFmtId="0" fontId="28" fillId="2" borderId="17" xfId="0" applyFont="1" applyFill="1" applyBorder="1"/>
    <xf numFmtId="191" fontId="28" fillId="2" borderId="15" xfId="0" applyNumberFormat="1" applyFont="1" applyFill="1" applyBorder="1"/>
    <xf numFmtId="3" fontId="28" fillId="2" borderId="15" xfId="0" applyNumberFormat="1" applyFont="1" applyFill="1" applyBorder="1"/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right"/>
    </xf>
    <xf numFmtId="0" fontId="28" fillId="2" borderId="15" xfId="0" applyFont="1" applyFill="1" applyBorder="1" applyAlignment="1">
      <alignment horizontal="center" vertical="center"/>
    </xf>
    <xf numFmtId="4" fontId="28" fillId="2" borderId="15" xfId="0" applyNumberFormat="1" applyFont="1" applyFill="1" applyBorder="1"/>
    <xf numFmtId="4" fontId="28" fillId="2" borderId="17" xfId="0" applyNumberFormat="1" applyFont="1" applyFill="1" applyBorder="1"/>
    <xf numFmtId="4" fontId="28" fillId="2" borderId="17" xfId="0" applyNumberFormat="1" applyFont="1" applyFill="1" applyBorder="1" applyAlignment="1">
      <alignment horizontal="right"/>
    </xf>
    <xf numFmtId="0" fontId="28" fillId="2" borderId="16" xfId="0" applyFont="1" applyFill="1" applyBorder="1"/>
    <xf numFmtId="4" fontId="28" fillId="2" borderId="12" xfId="0" applyNumberFormat="1" applyFont="1" applyFill="1" applyBorder="1"/>
    <xf numFmtId="0" fontId="28" fillId="2" borderId="15" xfId="0" applyFont="1" applyFill="1" applyBorder="1"/>
    <xf numFmtId="0" fontId="28" fillId="2" borderId="13" xfId="0" applyFont="1" applyFill="1" applyBorder="1" applyAlignment="1">
      <alignment horizontal="right"/>
    </xf>
    <xf numFmtId="0" fontId="28" fillId="2" borderId="14" xfId="0" applyFont="1" applyFill="1" applyBorder="1" applyAlignment="1">
      <alignment horizontal="left"/>
    </xf>
    <xf numFmtId="0" fontId="29" fillId="2" borderId="0" xfId="0" applyFont="1" applyFill="1" applyAlignment="1">
      <alignment horizontal="right"/>
    </xf>
    <xf numFmtId="0" fontId="28" fillId="2" borderId="15" xfId="0" applyFont="1" applyFill="1" applyBorder="1" applyAlignment="1">
      <alignment horizontal="center"/>
    </xf>
    <xf numFmtId="0" fontId="30" fillId="2" borderId="0" xfId="0" applyFont="1" applyFill="1"/>
    <xf numFmtId="0" fontId="31" fillId="2" borderId="17" xfId="0" applyFont="1" applyFill="1" applyBorder="1"/>
    <xf numFmtId="0" fontId="29" fillId="2" borderId="17" xfId="0" applyFont="1" applyFill="1" applyBorder="1" applyAlignment="1">
      <alignment horizontal="right"/>
    </xf>
    <xf numFmtId="4" fontId="29" fillId="2" borderId="1" xfId="0" applyNumberFormat="1" applyFont="1" applyFill="1" applyBorder="1"/>
    <xf numFmtId="0" fontId="28" fillId="2" borderId="0" xfId="0" applyFont="1" applyFill="1" applyAlignment="1">
      <alignment horizontal="center"/>
    </xf>
    <xf numFmtId="2" fontId="28" fillId="2" borderId="15" xfId="0" applyNumberFormat="1" applyFont="1" applyFill="1" applyBorder="1" applyAlignment="1">
      <alignment horizontal="center"/>
    </xf>
    <xf numFmtId="0" fontId="31" fillId="2" borderId="0" xfId="0" applyFont="1" applyFill="1"/>
    <xf numFmtId="0" fontId="29" fillId="2" borderId="1" xfId="0" applyFont="1" applyFill="1" applyBorder="1"/>
    <xf numFmtId="4" fontId="29" fillId="2" borderId="15" xfId="0" applyNumberFormat="1" applyFont="1" applyFill="1" applyBorder="1"/>
    <xf numFmtId="4" fontId="28" fillId="2" borderId="0" xfId="0" applyNumberFormat="1" applyFont="1" applyFill="1"/>
    <xf numFmtId="0" fontId="28" fillId="2" borderId="5" xfId="0" applyFont="1" applyFill="1" applyBorder="1"/>
    <xf numFmtId="4" fontId="28" fillId="2" borderId="5" xfId="0" applyNumberFormat="1" applyFont="1" applyFill="1" applyBorder="1"/>
    <xf numFmtId="0" fontId="28" fillId="2" borderId="17" xfId="0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30" fillId="2" borderId="34" xfId="0" applyFont="1" applyFill="1" applyBorder="1"/>
    <xf numFmtId="0" fontId="31" fillId="2" borderId="34" xfId="0" applyFont="1" applyFill="1" applyBorder="1"/>
    <xf numFmtId="191" fontId="28" fillId="2" borderId="12" xfId="0" applyNumberFormat="1" applyFont="1" applyFill="1" applyBorder="1" applyAlignment="1">
      <alignment horizontal="right"/>
    </xf>
    <xf numFmtId="191" fontId="28" fillId="2" borderId="12" xfId="0" applyNumberFormat="1" applyFont="1" applyFill="1" applyBorder="1"/>
    <xf numFmtId="0" fontId="28" fillId="2" borderId="14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18" xfId="0" applyFont="1" applyFill="1" applyBorder="1"/>
    <xf numFmtId="0" fontId="29" fillId="2" borderId="18" xfId="0" applyFont="1" applyFill="1" applyBorder="1" applyAlignment="1">
      <alignment horizontal="right"/>
    </xf>
    <xf numFmtId="191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0" xfId="0" applyFont="1" applyFill="1"/>
    <xf numFmtId="0" fontId="29" fillId="2" borderId="15" xfId="0" applyFont="1" applyFill="1" applyBorder="1" applyAlignment="1">
      <alignment horizontal="center"/>
    </xf>
    <xf numFmtId="0" fontId="29" fillId="2" borderId="17" xfId="0" applyFont="1" applyFill="1" applyBorder="1"/>
    <xf numFmtId="0" fontId="29" fillId="2" borderId="17" xfId="0" applyFont="1" applyFill="1" applyBorder="1" applyAlignment="1">
      <alignment horizontal="left"/>
    </xf>
    <xf numFmtId="191" fontId="29" fillId="2" borderId="17" xfId="0" applyNumberFormat="1" applyFont="1" applyFill="1" applyBorder="1" applyAlignment="1">
      <alignment horizontal="right"/>
    </xf>
    <xf numFmtId="4" fontId="29" fillId="2" borderId="17" xfId="0" applyNumberFormat="1" applyFont="1" applyFill="1" applyBorder="1" applyAlignment="1">
      <alignment horizontal="right"/>
    </xf>
    <xf numFmtId="0" fontId="29" fillId="2" borderId="16" xfId="0" applyFont="1" applyFill="1" applyBorder="1" applyAlignment="1">
      <alignment horizontal="center"/>
    </xf>
    <xf numFmtId="0" fontId="29" fillId="2" borderId="16" xfId="0" applyFont="1" applyFill="1" applyBorder="1" applyAlignment="1">
      <alignment horizontal="right"/>
    </xf>
    <xf numFmtId="191" fontId="29" fillId="2" borderId="15" xfId="0" applyNumberFormat="1" applyFont="1" applyFill="1" applyBorder="1" applyAlignment="1">
      <alignment horizontal="right"/>
    </xf>
    <xf numFmtId="191" fontId="29" fillId="2" borderId="15" xfId="0" applyNumberFormat="1" applyFont="1" applyFill="1" applyBorder="1"/>
    <xf numFmtId="191" fontId="28" fillId="2" borderId="17" xfId="0" applyNumberFormat="1" applyFont="1" applyFill="1" applyBorder="1" applyAlignment="1">
      <alignment horizontal="right"/>
    </xf>
    <xf numFmtId="0" fontId="29" fillId="2" borderId="17" xfId="0" applyFont="1" applyFill="1" applyBorder="1" applyAlignment="1">
      <alignment horizontal="center"/>
    </xf>
    <xf numFmtId="0" fontId="29" fillId="2" borderId="15" xfId="0" applyFont="1" applyFill="1" applyBorder="1"/>
    <xf numFmtId="2" fontId="29" fillId="2" borderId="0" xfId="0" applyNumberFormat="1" applyFont="1" applyFill="1"/>
    <xf numFmtId="191" fontId="29" fillId="2" borderId="17" xfId="0" applyNumberFormat="1" applyFont="1" applyFill="1" applyBorder="1"/>
    <xf numFmtId="0" fontId="29" fillId="2" borderId="5" xfId="0" applyFont="1" applyFill="1" applyBorder="1"/>
    <xf numFmtId="0" fontId="32" fillId="0" borderId="13" xfId="0" applyFont="1" applyBorder="1"/>
    <xf numFmtId="0" fontId="32" fillId="0" borderId="34" xfId="0" applyFont="1" applyBorder="1"/>
    <xf numFmtId="0" fontId="32" fillId="0" borderId="14" xfId="0" applyFont="1" applyBorder="1"/>
    <xf numFmtId="0" fontId="32" fillId="0" borderId="0" xfId="0" applyFont="1"/>
    <xf numFmtId="0" fontId="32" fillId="0" borderId="16" xfId="0" applyFont="1" applyBorder="1"/>
    <xf numFmtId="0" fontId="33" fillId="0" borderId="0" xfId="0" applyFont="1" applyAlignment="1">
      <alignment horizontal="center"/>
    </xf>
    <xf numFmtId="0" fontId="32" fillId="0" borderId="17" xfId="0" applyFont="1" applyBorder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/>
    <xf numFmtId="0" fontId="37" fillId="0" borderId="0" xfId="0" applyFont="1"/>
    <xf numFmtId="0" fontId="33" fillId="0" borderId="0" xfId="0" applyFont="1"/>
    <xf numFmtId="49" fontId="37" fillId="0" borderId="0" xfId="0" applyNumberFormat="1" applyFont="1"/>
    <xf numFmtId="0" fontId="32" fillId="0" borderId="3" xfId="0" applyFont="1" applyBorder="1"/>
    <xf numFmtId="0" fontId="32" fillId="0" borderId="18" xfId="0" applyFont="1" applyBorder="1"/>
    <xf numFmtId="0" fontId="32" fillId="0" borderId="1" xfId="0" applyFont="1" applyBorder="1"/>
    <xf numFmtId="201" fontId="38" fillId="0" borderId="0" xfId="0" applyNumberFormat="1" applyFont="1"/>
    <xf numFmtId="201" fontId="32" fillId="0" borderId="0" xfId="0" applyNumberFormat="1" applyFont="1" applyAlignment="1">
      <alignment horizontal="center"/>
    </xf>
    <xf numFmtId="201" fontId="32" fillId="0" borderId="0" xfId="0" applyNumberFormat="1" applyFont="1"/>
    <xf numFmtId="201" fontId="39" fillId="0" borderId="0" xfId="0" applyNumberFormat="1" applyFont="1" applyAlignment="1">
      <alignment horizontal="center"/>
    </xf>
    <xf numFmtId="201" fontId="33" fillId="0" borderId="0" xfId="0" applyNumberFormat="1" applyFont="1" applyAlignment="1">
      <alignment horizontal="center"/>
    </xf>
    <xf numFmtId="201" fontId="32" fillId="0" borderId="0" xfId="0" applyNumberFormat="1" applyFont="1" applyAlignment="1">
      <alignment vertical="center"/>
    </xf>
    <xf numFmtId="201" fontId="32" fillId="0" borderId="0" xfId="0" applyNumberFormat="1" applyFont="1" applyAlignment="1">
      <alignment horizontal="center" vertical="center"/>
    </xf>
    <xf numFmtId="201" fontId="40" fillId="0" borderId="0" xfId="0" applyNumberFormat="1" applyFont="1" applyAlignment="1">
      <alignment horizontal="center" vertical="center"/>
    </xf>
    <xf numFmtId="201" fontId="40" fillId="0" borderId="0" xfId="0" applyNumberFormat="1" applyFont="1" applyAlignment="1">
      <alignment horizontal="center"/>
    </xf>
    <xf numFmtId="201" fontId="38" fillId="0" borderId="0" xfId="0" applyNumberFormat="1" applyFont="1" applyAlignment="1">
      <alignment horizontal="center"/>
    </xf>
    <xf numFmtId="203" fontId="32" fillId="0" borderId="0" xfId="0" applyNumberFormat="1" applyFont="1"/>
    <xf numFmtId="203" fontId="38" fillId="0" borderId="0" xfId="0" applyNumberFormat="1" applyFont="1"/>
    <xf numFmtId="201" fontId="38" fillId="0" borderId="0" xfId="0" applyNumberFormat="1" applyFont="1" applyAlignment="1">
      <alignment horizontal="left"/>
    </xf>
    <xf numFmtId="201" fontId="36" fillId="0" borderId="0" xfId="0" applyNumberFormat="1" applyFont="1" applyAlignment="1">
      <alignment horizontal="center"/>
    </xf>
    <xf numFmtId="201" fontId="36" fillId="0" borderId="0" xfId="0" applyNumberFormat="1" applyFont="1"/>
    <xf numFmtId="201" fontId="32" fillId="0" borderId="0" xfId="0" applyNumberFormat="1" applyFont="1" applyAlignment="1">
      <alignment horizontal="left"/>
    </xf>
    <xf numFmtId="203" fontId="38" fillId="0" borderId="0" xfId="0" applyNumberFormat="1" applyFont="1" applyAlignment="1">
      <alignment horizontal="center"/>
    </xf>
    <xf numFmtId="204" fontId="38" fillId="0" borderId="0" xfId="0" applyNumberFormat="1" applyFont="1" applyAlignment="1">
      <alignment horizontal="center"/>
    </xf>
    <xf numFmtId="201" fontId="37" fillId="0" borderId="0" xfId="0" applyNumberFormat="1" applyFont="1" applyAlignment="1">
      <alignment horizontal="center"/>
    </xf>
    <xf numFmtId="201" fontId="36" fillId="0" borderId="13" xfId="0" applyNumberFormat="1" applyFont="1" applyBorder="1"/>
    <xf numFmtId="201" fontId="37" fillId="0" borderId="34" xfId="0" applyNumberFormat="1" applyFont="1" applyBorder="1"/>
    <xf numFmtId="201" fontId="37" fillId="0" borderId="14" xfId="0" applyNumberFormat="1" applyFont="1" applyBorder="1"/>
    <xf numFmtId="201" fontId="36" fillId="0" borderId="34" xfId="0" applyNumberFormat="1" applyFont="1" applyBorder="1"/>
    <xf numFmtId="201" fontId="37" fillId="0" borderId="0" xfId="0" applyNumberFormat="1" applyFont="1"/>
    <xf numFmtId="201" fontId="38" fillId="0" borderId="16" xfId="0" applyNumberFormat="1" applyFont="1" applyBorder="1"/>
    <xf numFmtId="201" fontId="32" fillId="0" borderId="17" xfId="0" applyNumberFormat="1" applyFont="1" applyBorder="1"/>
    <xf numFmtId="201" fontId="34" fillId="0" borderId="0" xfId="0" applyNumberFormat="1" applyFont="1" applyAlignment="1">
      <alignment vertical="center"/>
    </xf>
    <xf numFmtId="201" fontId="42" fillId="0" borderId="0" xfId="0" applyNumberFormat="1" applyFont="1"/>
    <xf numFmtId="201" fontId="32" fillId="0" borderId="13" xfId="0" applyNumberFormat="1" applyFont="1" applyBorder="1"/>
    <xf numFmtId="201" fontId="32" fillId="0" borderId="34" xfId="0" applyNumberFormat="1" applyFont="1" applyBorder="1"/>
    <xf numFmtId="201" fontId="42" fillId="0" borderId="34" xfId="0" applyNumberFormat="1" applyFont="1" applyBorder="1"/>
    <xf numFmtId="201" fontId="32" fillId="0" borderId="14" xfId="0" applyNumberFormat="1" applyFont="1" applyBorder="1"/>
    <xf numFmtId="201" fontId="32" fillId="0" borderId="0" xfId="0" applyNumberFormat="1" applyFont="1" applyAlignment="1">
      <alignment horizontal="right"/>
    </xf>
    <xf numFmtId="201" fontId="32" fillId="0" borderId="16" xfId="0" applyNumberFormat="1" applyFont="1" applyBorder="1"/>
    <xf numFmtId="201" fontId="32" fillId="0" borderId="17" xfId="0" applyNumberFormat="1" applyFont="1" applyBorder="1" applyAlignment="1">
      <alignment horizontal="right"/>
    </xf>
    <xf numFmtId="201" fontId="32" fillId="0" borderId="3" xfId="0" applyNumberFormat="1" applyFont="1" applyBorder="1"/>
    <xf numFmtId="201" fontId="32" fillId="0" borderId="18" xfId="0" applyNumberFormat="1" applyFont="1" applyBorder="1"/>
    <xf numFmtId="201" fontId="32" fillId="0" borderId="1" xfId="0" applyNumberFormat="1" applyFont="1" applyBorder="1"/>
    <xf numFmtId="201" fontId="38" fillId="0" borderId="6" xfId="0" applyNumberFormat="1" applyFont="1" applyBorder="1"/>
    <xf numFmtId="201" fontId="38" fillId="0" borderId="11" xfId="0" applyNumberFormat="1" applyFont="1" applyBorder="1" applyAlignment="1">
      <alignment horizontal="left"/>
    </xf>
    <xf numFmtId="201" fontId="32" fillId="0" borderId="11" xfId="0" applyNumberFormat="1" applyFont="1" applyBorder="1"/>
    <xf numFmtId="201" fontId="32" fillId="0" borderId="7" xfId="0" applyNumberFormat="1" applyFont="1" applyBorder="1"/>
    <xf numFmtId="201" fontId="43" fillId="0" borderId="0" xfId="0" applyNumberFormat="1" applyFont="1"/>
    <xf numFmtId="201" fontId="42" fillId="0" borderId="0" xfId="0" applyNumberFormat="1" applyFont="1" applyAlignment="1">
      <alignment horizontal="center"/>
    </xf>
    <xf numFmtId="201" fontId="32" fillId="0" borderId="5" xfId="10" applyNumberFormat="1" applyFont="1" applyBorder="1" applyAlignment="1">
      <alignment horizontal="centerContinuous"/>
    </xf>
    <xf numFmtId="201" fontId="32" fillId="0" borderId="7" xfId="10" applyNumberFormat="1" applyFont="1" applyBorder="1" applyAlignment="1">
      <alignment horizontal="centerContinuous"/>
    </xf>
    <xf numFmtId="201" fontId="32" fillId="0" borderId="11" xfId="10" applyNumberFormat="1" applyFont="1" applyBorder="1" applyAlignment="1">
      <alignment horizontal="centerContinuous"/>
    </xf>
    <xf numFmtId="201" fontId="32" fillId="0" borderId="7" xfId="10" applyNumberFormat="1" applyFont="1" applyBorder="1" applyAlignment="1">
      <alignment horizontal="center"/>
    </xf>
    <xf numFmtId="201" fontId="32" fillId="0" borderId="13" xfId="10" applyNumberFormat="1" applyFont="1" applyBorder="1" applyAlignment="1">
      <alignment horizontal="centerContinuous"/>
    </xf>
    <xf numFmtId="201" fontId="32" fillId="0" borderId="14" xfId="10" applyNumberFormat="1" applyFont="1" applyBorder="1" applyAlignment="1">
      <alignment horizontal="centerContinuous"/>
    </xf>
    <xf numFmtId="201" fontId="32" fillId="0" borderId="13" xfId="10" applyNumberFormat="1" applyFont="1" applyBorder="1"/>
    <xf numFmtId="201" fontId="32" fillId="0" borderId="34" xfId="10" applyNumberFormat="1" applyFont="1" applyBorder="1"/>
    <xf numFmtId="201" fontId="44" fillId="0" borderId="14" xfId="9" applyNumberFormat="1" applyFont="1" applyBorder="1" applyAlignment="1">
      <alignment horizontal="centerContinuous"/>
    </xf>
    <xf numFmtId="201" fontId="44" fillId="0" borderId="34" xfId="9" applyNumberFormat="1" applyFont="1" applyBorder="1" applyAlignment="1">
      <alignment horizontal="centerContinuous"/>
    </xf>
    <xf numFmtId="201" fontId="44" fillId="0" borderId="34" xfId="9" applyNumberFormat="1" applyFont="1" applyBorder="1" applyAlignment="1">
      <alignment horizontal="center"/>
    </xf>
    <xf numFmtId="201" fontId="32" fillId="0" borderId="16" xfId="10" applyNumberFormat="1" applyFont="1" applyBorder="1" applyAlignment="1">
      <alignment horizontal="centerContinuous"/>
    </xf>
    <xf numFmtId="201" fontId="32" fillId="0" borderId="17" xfId="10" applyNumberFormat="1" applyFont="1" applyBorder="1" applyAlignment="1">
      <alignment horizontal="centerContinuous"/>
    </xf>
    <xf numFmtId="201" fontId="44" fillId="2" borderId="16" xfId="10" applyNumberFormat="1" applyFont="1" applyFill="1" applyBorder="1" applyAlignment="1">
      <alignment horizontal="left"/>
    </xf>
    <xf numFmtId="201" fontId="32" fillId="0" borderId="0" xfId="10" applyNumberFormat="1" applyFont="1"/>
    <xf numFmtId="201" fontId="44" fillId="0" borderId="17" xfId="9" applyNumberFormat="1" applyFont="1" applyBorder="1" applyAlignment="1">
      <alignment horizontal="centerContinuous"/>
    </xf>
    <xf numFmtId="201" fontId="44" fillId="0" borderId="0" xfId="9" applyNumberFormat="1" applyFont="1" applyBorder="1" applyAlignment="1">
      <alignment horizontal="centerContinuous"/>
    </xf>
    <xf numFmtId="201" fontId="44" fillId="0" borderId="0" xfId="9" applyNumberFormat="1" applyFont="1" applyBorder="1" applyAlignment="1">
      <alignment horizontal="center"/>
    </xf>
    <xf numFmtId="202" fontId="44" fillId="0" borderId="0" xfId="9" applyNumberFormat="1" applyFont="1" applyBorder="1" applyAlignment="1">
      <alignment horizontal="center"/>
    </xf>
    <xf numFmtId="201" fontId="32" fillId="0" borderId="16" xfId="10" applyNumberFormat="1" applyFont="1" applyBorder="1"/>
    <xf numFmtId="201" fontId="32" fillId="0" borderId="0" xfId="9" applyNumberFormat="1" applyFont="1" applyBorder="1" applyAlignment="1">
      <alignment horizontal="center"/>
    </xf>
    <xf numFmtId="201" fontId="45" fillId="0" borderId="0" xfId="9" applyNumberFormat="1" applyFont="1" applyBorder="1" applyAlignment="1">
      <alignment horizontal="centerContinuous"/>
    </xf>
    <xf numFmtId="201" fontId="46" fillId="0" borderId="0" xfId="10" applyNumberFormat="1" applyFont="1"/>
    <xf numFmtId="201" fontId="32" fillId="0" borderId="17" xfId="9" applyNumberFormat="1" applyFont="1" applyBorder="1" applyAlignment="1">
      <alignment horizontal="centerContinuous"/>
    </xf>
    <xf numFmtId="201" fontId="32" fillId="0" borderId="0" xfId="9" applyNumberFormat="1" applyFont="1" applyBorder="1" applyAlignment="1">
      <alignment horizontal="centerContinuous"/>
    </xf>
    <xf numFmtId="201" fontId="32" fillId="0" borderId="17" xfId="9" applyNumberFormat="1" applyFont="1" applyBorder="1" applyAlignment="1">
      <alignment horizontal="center"/>
    </xf>
    <xf numFmtId="201" fontId="44" fillId="0" borderId="17" xfId="9" applyNumberFormat="1" applyFont="1" applyBorder="1" applyAlignment="1">
      <alignment horizontal="center"/>
    </xf>
    <xf numFmtId="201" fontId="44" fillId="0" borderId="0" xfId="9" quotePrefix="1" applyNumberFormat="1" applyFont="1" applyBorder="1" applyAlignment="1">
      <alignment horizontal="right"/>
    </xf>
    <xf numFmtId="201" fontId="44" fillId="0" borderId="0" xfId="9" quotePrefix="1" applyNumberFormat="1" applyFont="1" applyBorder="1" applyAlignment="1">
      <alignment horizontal="center"/>
    </xf>
    <xf numFmtId="201" fontId="44" fillId="0" borderId="17" xfId="9" quotePrefix="1" applyNumberFormat="1" applyFont="1" applyBorder="1" applyAlignment="1">
      <alignment horizontal="right"/>
    </xf>
    <xf numFmtId="201" fontId="32" fillId="0" borderId="3" xfId="10" applyNumberFormat="1" applyFont="1" applyBorder="1" applyAlignment="1">
      <alignment horizontal="centerContinuous"/>
    </xf>
    <xf numFmtId="201" fontId="32" fillId="0" borderId="1" xfId="10" applyNumberFormat="1" applyFont="1" applyBorder="1" applyAlignment="1">
      <alignment horizontal="centerContinuous"/>
    </xf>
    <xf numFmtId="201" fontId="32" fillId="0" borderId="3" xfId="10" applyNumberFormat="1" applyFont="1" applyBorder="1"/>
    <xf numFmtId="201" fontId="32" fillId="0" borderId="18" xfId="10" applyNumberFormat="1" applyFont="1" applyBorder="1"/>
    <xf numFmtId="201" fontId="45" fillId="0" borderId="18" xfId="9" applyNumberFormat="1" applyFont="1" applyBorder="1" applyAlignment="1">
      <alignment horizontal="centerContinuous"/>
    </xf>
    <xf numFmtId="201" fontId="46" fillId="0" borderId="18" xfId="10" applyNumberFormat="1" applyFont="1" applyBorder="1"/>
    <xf numFmtId="201" fontId="32" fillId="0" borderId="1" xfId="9" applyNumberFormat="1" applyFont="1" applyBorder="1" applyAlignment="1">
      <alignment horizontal="center"/>
    </xf>
    <xf numFmtId="201" fontId="32" fillId="0" borderId="18" xfId="9" applyNumberFormat="1" applyFont="1" applyBorder="1" applyAlignment="1">
      <alignment horizontal="center"/>
    </xf>
    <xf numFmtId="201" fontId="42" fillId="0" borderId="0" xfId="10" applyNumberFormat="1" applyFont="1" applyAlignment="1">
      <alignment horizontal="centerContinuous"/>
    </xf>
    <xf numFmtId="201" fontId="42" fillId="0" borderId="0" xfId="10" applyNumberFormat="1" applyFont="1"/>
    <xf numFmtId="201" fontId="48" fillId="0" borderId="0" xfId="9" applyNumberFormat="1" applyFont="1" applyBorder="1" applyAlignment="1">
      <alignment horizontal="centerContinuous"/>
    </xf>
    <xf numFmtId="201" fontId="49" fillId="0" borderId="0" xfId="10" applyNumberFormat="1" applyFont="1"/>
    <xf numFmtId="201" fontId="42" fillId="0" borderId="0" xfId="9" applyNumberFormat="1" applyFont="1" applyBorder="1" applyAlignment="1">
      <alignment horizontal="center"/>
    </xf>
    <xf numFmtId="201" fontId="42" fillId="0" borderId="0" xfId="0" applyNumberFormat="1" applyFont="1" applyAlignment="1">
      <alignment horizontal="left"/>
    </xf>
    <xf numFmtId="202" fontId="42" fillId="0" borderId="0" xfId="0" applyNumberFormat="1" applyFont="1" applyAlignment="1">
      <alignment horizontal="left"/>
    </xf>
    <xf numFmtId="201" fontId="50" fillId="0" borderId="0" xfId="9" applyNumberFormat="1" applyFont="1" applyBorder="1" applyAlignment="1">
      <alignment horizontal="left"/>
    </xf>
    <xf numFmtId="201" fontId="43" fillId="0" borderId="0" xfId="0" applyNumberFormat="1" applyFont="1" applyAlignment="1">
      <alignment horizontal="center"/>
    </xf>
    <xf numFmtId="201" fontId="38" fillId="0" borderId="6" xfId="0" applyNumberFormat="1" applyFont="1" applyBorder="1" applyAlignment="1">
      <alignment horizontal="right"/>
    </xf>
    <xf numFmtId="203" fontId="38" fillId="0" borderId="0" xfId="0" applyNumberFormat="1" applyFont="1" applyAlignment="1">
      <alignment horizontal="left"/>
    </xf>
    <xf numFmtId="201" fontId="51" fillId="0" borderId="0" xfId="0" applyNumberFormat="1" applyFont="1"/>
    <xf numFmtId="201" fontId="32" fillId="0" borderId="13" xfId="0" applyNumberFormat="1" applyFont="1" applyBorder="1" applyAlignment="1">
      <alignment horizontal="center"/>
    </xf>
    <xf numFmtId="201" fontId="36" fillId="0" borderId="34" xfId="0" applyNumberFormat="1" applyFont="1" applyBorder="1" applyAlignment="1">
      <alignment horizontal="center"/>
    </xf>
    <xf numFmtId="201" fontId="32" fillId="0" borderId="16" xfId="0" applyNumberFormat="1" applyFont="1" applyBorder="1" applyAlignment="1">
      <alignment horizontal="center"/>
    </xf>
    <xf numFmtId="201" fontId="32" fillId="0" borderId="3" xfId="0" applyNumberFormat="1" applyFont="1" applyBorder="1" applyAlignment="1">
      <alignment horizontal="center"/>
    </xf>
    <xf numFmtId="201" fontId="32" fillId="0" borderId="18" xfId="0" applyNumberFormat="1" applyFont="1" applyBorder="1" applyAlignment="1">
      <alignment horizontal="center"/>
    </xf>
    <xf numFmtId="201" fontId="41" fillId="0" borderId="0" xfId="0" applyNumberFormat="1" applyFont="1"/>
    <xf numFmtId="201" fontId="45" fillId="0" borderId="0" xfId="0" applyNumberFormat="1" applyFont="1"/>
    <xf numFmtId="207" fontId="38" fillId="0" borderId="0" xfId="0" applyNumberFormat="1" applyFont="1" applyAlignment="1">
      <alignment horizontal="center"/>
    </xf>
    <xf numFmtId="201" fontId="32" fillId="0" borderId="12" xfId="0" applyNumberFormat="1" applyFont="1" applyBorder="1" applyAlignment="1">
      <alignment horizontal="right"/>
    </xf>
    <xf numFmtId="201" fontId="32" fillId="0" borderId="13" xfId="0" applyNumberFormat="1" applyFont="1" applyBorder="1" applyAlignment="1">
      <alignment horizontal="left"/>
    </xf>
    <xf numFmtId="201" fontId="32" fillId="0" borderId="15" xfId="0" applyNumberFormat="1" applyFont="1" applyBorder="1" applyAlignment="1">
      <alignment horizontal="right"/>
    </xf>
    <xf numFmtId="201" fontId="32" fillId="0" borderId="16" xfId="0" applyNumberFormat="1" applyFont="1" applyBorder="1" applyAlignment="1">
      <alignment horizontal="left"/>
    </xf>
    <xf numFmtId="201" fontId="32" fillId="0" borderId="2" xfId="0" applyNumberFormat="1" applyFont="1" applyBorder="1"/>
    <xf numFmtId="201" fontId="32" fillId="0" borderId="3" xfId="0" applyNumberFormat="1" applyFont="1" applyBorder="1" applyAlignment="1">
      <alignment horizontal="left"/>
    </xf>
    <xf numFmtId="204" fontId="32" fillId="0" borderId="0" xfId="0" applyNumberFormat="1" applyFont="1"/>
    <xf numFmtId="49" fontId="32" fillId="0" borderId="0" xfId="0" applyNumberFormat="1" applyFont="1"/>
    <xf numFmtId="0" fontId="32" fillId="0" borderId="0" xfId="0" applyFont="1" applyAlignment="1">
      <alignment horizontal="left"/>
    </xf>
    <xf numFmtId="49" fontId="32" fillId="0" borderId="0" xfId="0" applyNumberFormat="1" applyFont="1" applyAlignment="1">
      <alignment horizontal="left"/>
    </xf>
    <xf numFmtId="201" fontId="33" fillId="0" borderId="0" xfId="0" applyNumberFormat="1" applyFont="1" applyAlignment="1">
      <alignment horizontal="center" vertical="center"/>
    </xf>
    <xf numFmtId="201" fontId="54" fillId="0" borderId="0" xfId="0" applyNumberFormat="1" applyFont="1" applyAlignment="1">
      <alignment horizontal="center" vertical="center"/>
    </xf>
    <xf numFmtId="201" fontId="34" fillId="0" borderId="0" xfId="0" applyNumberFormat="1" applyFont="1" applyAlignment="1">
      <alignment horizontal="center" vertical="center"/>
    </xf>
    <xf numFmtId="201" fontId="52" fillId="0" borderId="0" xfId="0" applyNumberFormat="1" applyFont="1" applyAlignment="1">
      <alignment horizontal="left"/>
    </xf>
    <xf numFmtId="201" fontId="55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201" fontId="42" fillId="0" borderId="0" xfId="10" applyNumberFormat="1" applyFont="1" applyAlignment="1">
      <alignment horizontal="right"/>
    </xf>
    <xf numFmtId="201" fontId="32" fillId="0" borderId="0" xfId="0" applyNumberFormat="1" applyFont="1" applyAlignment="1">
      <alignment horizontal="centerContinuous"/>
    </xf>
    <xf numFmtId="201" fontId="32" fillId="0" borderId="37" xfId="0" applyNumberFormat="1" applyFont="1" applyBorder="1" applyAlignment="1">
      <alignment horizontal="left"/>
    </xf>
    <xf numFmtId="201" fontId="32" fillId="0" borderId="37" xfId="0" applyNumberFormat="1" applyFont="1" applyBorder="1" applyAlignment="1">
      <alignment horizontal="centerContinuous"/>
    </xf>
    <xf numFmtId="201" fontId="32" fillId="0" borderId="4" xfId="0" applyNumberFormat="1" applyFont="1" applyBorder="1"/>
    <xf numFmtId="201" fontId="32" fillId="0" borderId="4" xfId="0" applyNumberFormat="1" applyFont="1" applyBorder="1" applyAlignment="1">
      <alignment horizontal="centerContinuous"/>
    </xf>
    <xf numFmtId="201" fontId="32" fillId="0" borderId="4" xfId="10" applyNumberFormat="1" applyFont="1" applyBorder="1"/>
    <xf numFmtId="201" fontId="32" fillId="0" borderId="4" xfId="0" applyNumberFormat="1" applyFont="1" applyBorder="1" applyAlignment="1">
      <alignment horizontal="left"/>
    </xf>
    <xf numFmtId="201" fontId="32" fillId="0" borderId="4" xfId="10" applyNumberFormat="1" applyFont="1" applyBorder="1" applyAlignment="1">
      <alignment horizontal="right"/>
    </xf>
    <xf numFmtId="201" fontId="32" fillId="0" borderId="37" xfId="10" applyNumberFormat="1" applyFont="1" applyBorder="1" applyAlignment="1">
      <alignment horizontal="center"/>
    </xf>
    <xf numFmtId="201" fontId="32" fillId="0" borderId="4" xfId="10" applyNumberFormat="1" applyFont="1" applyBorder="1" applyAlignment="1">
      <alignment horizontal="center"/>
    </xf>
    <xf numFmtId="201" fontId="44" fillId="0" borderId="0" xfId="10" applyNumberFormat="1" applyFont="1" applyAlignment="1">
      <alignment horizontal="right"/>
    </xf>
    <xf numFmtId="201" fontId="32" fillId="0" borderId="5" xfId="0" applyNumberFormat="1" applyFont="1" applyBorder="1" applyAlignment="1">
      <alignment horizontal="centerContinuous"/>
    </xf>
    <xf numFmtId="201" fontId="32" fillId="0" borderId="1" xfId="0" applyNumberFormat="1" applyFont="1" applyBorder="1" applyAlignment="1">
      <alignment horizontal="centerContinuous"/>
    </xf>
    <xf numFmtId="201" fontId="32" fillId="0" borderId="18" xfId="0" applyNumberFormat="1" applyFont="1" applyBorder="1" applyAlignment="1">
      <alignment horizontal="centerContinuous"/>
    </xf>
    <xf numFmtId="201" fontId="32" fillId="0" borderId="7" xfId="0" applyNumberFormat="1" applyFont="1" applyBorder="1" applyAlignment="1">
      <alignment horizontal="centerContinuous"/>
    </xf>
    <xf numFmtId="201" fontId="32" fillId="0" borderId="9" xfId="0" applyNumberFormat="1" applyFont="1" applyBorder="1" applyAlignment="1">
      <alignment horizontal="centerContinuous"/>
    </xf>
    <xf numFmtId="201" fontId="32" fillId="0" borderId="10" xfId="0" applyNumberFormat="1" applyFont="1" applyBorder="1" applyAlignment="1">
      <alignment horizontal="centerContinuous"/>
    </xf>
    <xf numFmtId="201" fontId="32" fillId="0" borderId="22" xfId="0" applyNumberFormat="1" applyFont="1" applyBorder="1"/>
    <xf numFmtId="201" fontId="32" fillId="0" borderId="37" xfId="0" applyNumberFormat="1" applyFont="1" applyBorder="1"/>
    <xf numFmtId="204" fontId="32" fillId="0" borderId="37" xfId="8" applyNumberFormat="1" applyFont="1" applyFill="1" applyBorder="1" applyAlignment="1"/>
    <xf numFmtId="205" fontId="32" fillId="0" borderId="37" xfId="8" applyNumberFormat="1" applyFont="1" applyFill="1" applyBorder="1" applyAlignment="1"/>
    <xf numFmtId="205" fontId="32" fillId="0" borderId="38" xfId="8" applyNumberFormat="1" applyFont="1" applyFill="1" applyBorder="1" applyAlignment="1"/>
    <xf numFmtId="201" fontId="32" fillId="0" borderId="10" xfId="0" applyNumberFormat="1" applyFont="1" applyBorder="1"/>
    <xf numFmtId="201" fontId="32" fillId="0" borderId="39" xfId="0" applyNumberFormat="1" applyFont="1" applyBorder="1"/>
    <xf numFmtId="201" fontId="32" fillId="0" borderId="37" xfId="8" applyNumberFormat="1" applyFont="1" applyFill="1" applyBorder="1" applyAlignment="1"/>
    <xf numFmtId="201" fontId="32" fillId="0" borderId="38" xfId="8" applyNumberFormat="1" applyFont="1" applyFill="1" applyBorder="1" applyAlignment="1"/>
    <xf numFmtId="201" fontId="32" fillId="0" borderId="9" xfId="0" applyNumberFormat="1" applyFont="1" applyBorder="1"/>
    <xf numFmtId="201" fontId="32" fillId="0" borderId="37" xfId="8" applyNumberFormat="1" applyFont="1" applyFill="1" applyBorder="1" applyAlignment="1">
      <alignment horizontal="right"/>
    </xf>
    <xf numFmtId="201" fontId="32" fillId="0" borderId="37" xfId="0" applyNumberFormat="1" applyFont="1" applyBorder="1" applyAlignment="1">
      <alignment horizontal="center"/>
    </xf>
    <xf numFmtId="201" fontId="32" fillId="0" borderId="32" xfId="0" applyNumberFormat="1" applyFont="1" applyBorder="1"/>
    <xf numFmtId="201" fontId="32" fillId="0" borderId="31" xfId="0" applyNumberFormat="1" applyFont="1" applyBorder="1"/>
    <xf numFmtId="201" fontId="32" fillId="0" borderId="31" xfId="8" applyNumberFormat="1" applyFont="1" applyFill="1" applyBorder="1" applyAlignment="1">
      <alignment horizontal="right"/>
    </xf>
    <xf numFmtId="201" fontId="32" fillId="0" borderId="31" xfId="0" applyNumberFormat="1" applyFont="1" applyBorder="1" applyAlignment="1">
      <alignment horizontal="center"/>
    </xf>
    <xf numFmtId="204" fontId="32" fillId="0" borderId="31" xfId="0" applyNumberFormat="1" applyFont="1" applyBorder="1"/>
    <xf numFmtId="201" fontId="32" fillId="0" borderId="33" xfId="0" applyNumberFormat="1" applyFont="1" applyBorder="1"/>
    <xf numFmtId="201" fontId="32" fillId="0" borderId="13" xfId="0" applyNumberFormat="1" applyFont="1" applyBorder="1" applyAlignment="1">
      <alignment horizontal="centerContinuous"/>
    </xf>
    <xf numFmtId="201" fontId="32" fillId="0" borderId="14" xfId="0" applyNumberFormat="1" applyFont="1" applyBorder="1" applyAlignment="1">
      <alignment horizontal="centerContinuous"/>
    </xf>
    <xf numFmtId="201" fontId="32" fillId="0" borderId="16" xfId="0" applyNumberFormat="1" applyFont="1" applyBorder="1" applyAlignment="1">
      <alignment horizontal="centerContinuous"/>
    </xf>
    <xf numFmtId="201" fontId="32" fillId="0" borderId="17" xfId="0" applyNumberFormat="1" applyFont="1" applyBorder="1" applyAlignment="1">
      <alignment horizontal="centerContinuous"/>
    </xf>
    <xf numFmtId="201" fontId="32" fillId="0" borderId="0" xfId="10" applyNumberFormat="1" applyFont="1" applyAlignment="1">
      <alignment vertical="center"/>
    </xf>
    <xf numFmtId="201" fontId="32" fillId="0" borderId="0" xfId="10" applyNumberFormat="1" applyFont="1" applyAlignment="1">
      <alignment horizontal="right" vertical="center"/>
    </xf>
    <xf numFmtId="201" fontId="39" fillId="0" borderId="0" xfId="10" applyNumberFormat="1" applyFont="1" applyAlignment="1">
      <alignment horizontal="centerContinuous"/>
    </xf>
    <xf numFmtId="201" fontId="56" fillId="0" borderId="0" xfId="10" applyNumberFormat="1" applyFont="1" applyAlignment="1">
      <alignment horizontal="centerContinuous"/>
    </xf>
    <xf numFmtId="201" fontId="56" fillId="0" borderId="0" xfId="10" applyNumberFormat="1" applyFont="1"/>
    <xf numFmtId="201" fontId="34" fillId="0" borderId="0" xfId="10" applyNumberFormat="1" applyFont="1" applyAlignment="1">
      <alignment horizontal="centerContinuous"/>
    </xf>
    <xf numFmtId="201" fontId="38" fillId="0" borderId="0" xfId="10" applyNumberFormat="1" applyFont="1" applyAlignment="1">
      <alignment horizontal="left"/>
    </xf>
    <xf numFmtId="201" fontId="32" fillId="0" borderId="0" xfId="10" applyNumberFormat="1" applyFont="1" applyAlignment="1">
      <alignment horizontal="centerContinuous"/>
    </xf>
    <xf numFmtId="201" fontId="38" fillId="0" borderId="0" xfId="10" applyNumberFormat="1" applyFont="1" applyAlignment="1">
      <alignment horizontal="centerContinuous"/>
    </xf>
    <xf numFmtId="201" fontId="38" fillId="0" borderId="0" xfId="10" applyNumberFormat="1" applyFont="1" applyAlignment="1">
      <alignment horizontal="right"/>
    </xf>
    <xf numFmtId="201" fontId="44" fillId="0" borderId="4" xfId="10" applyNumberFormat="1" applyFont="1" applyBorder="1"/>
    <xf numFmtId="201" fontId="45" fillId="0" borderId="4" xfId="10" applyNumberFormat="1" applyFont="1" applyBorder="1" applyAlignment="1">
      <alignment horizontal="centerContinuous"/>
    </xf>
    <xf numFmtId="201" fontId="45" fillId="0" borderId="4" xfId="10" applyNumberFormat="1" applyFont="1" applyBorder="1" applyAlignment="1">
      <alignment horizontal="left"/>
    </xf>
    <xf numFmtId="201" fontId="41" fillId="0" borderId="4" xfId="10" applyNumberFormat="1" applyFont="1" applyBorder="1"/>
    <xf numFmtId="201" fontId="32" fillId="0" borderId="4" xfId="10" applyNumberFormat="1" applyFont="1" applyBorder="1" applyAlignment="1">
      <alignment horizontal="left"/>
    </xf>
    <xf numFmtId="201" fontId="41" fillId="0" borderId="0" xfId="10" applyNumberFormat="1" applyFont="1"/>
    <xf numFmtId="201" fontId="45" fillId="0" borderId="0" xfId="10" applyNumberFormat="1" applyFont="1" applyAlignment="1">
      <alignment horizontal="left"/>
    </xf>
    <xf numFmtId="201" fontId="32" fillId="0" borderId="0" xfId="10" applyNumberFormat="1" applyFont="1" applyAlignment="1">
      <alignment horizontal="right"/>
    </xf>
    <xf numFmtId="201" fontId="32" fillId="0" borderId="0" xfId="10" applyNumberFormat="1" applyFont="1" applyAlignment="1">
      <alignment horizontal="center"/>
    </xf>
    <xf numFmtId="201" fontId="32" fillId="0" borderId="0" xfId="10" applyNumberFormat="1" applyFont="1" applyAlignment="1">
      <alignment horizontal="left"/>
    </xf>
    <xf numFmtId="201" fontId="32" fillId="0" borderId="31" xfId="10" applyNumberFormat="1" applyFont="1" applyBorder="1" applyAlignment="1">
      <alignment horizontal="center"/>
    </xf>
    <xf numFmtId="201" fontId="32" fillId="0" borderId="14" xfId="10" applyNumberFormat="1" applyFont="1" applyBorder="1"/>
    <xf numFmtId="201" fontId="32" fillId="0" borderId="12" xfId="10" applyNumberFormat="1" applyFont="1" applyBorder="1"/>
    <xf numFmtId="201" fontId="32" fillId="0" borderId="15" xfId="10" applyNumberFormat="1" applyFont="1" applyBorder="1" applyAlignment="1">
      <alignment horizontal="centerContinuous"/>
    </xf>
    <xf numFmtId="201" fontId="32" fillId="0" borderId="16" xfId="10" applyNumberFormat="1" applyFont="1" applyBorder="1" applyAlignment="1">
      <alignment horizontal="center"/>
    </xf>
    <xf numFmtId="201" fontId="32" fillId="0" borderId="15" xfId="10" applyNumberFormat="1" applyFont="1" applyBorder="1" applyAlignment="1">
      <alignment horizontal="center"/>
    </xf>
    <xf numFmtId="201" fontId="32" fillId="0" borderId="18" xfId="10" applyNumberFormat="1" applyFont="1" applyBorder="1" applyAlignment="1">
      <alignment horizontal="centerContinuous"/>
    </xf>
    <xf numFmtId="201" fontId="32" fillId="0" borderId="18" xfId="10" applyNumberFormat="1" applyFont="1" applyBorder="1" applyAlignment="1">
      <alignment horizontal="center"/>
    </xf>
    <xf numFmtId="201" fontId="32" fillId="0" borderId="2" xfId="10" applyNumberFormat="1" applyFont="1" applyBorder="1" applyAlignment="1">
      <alignment horizontal="center"/>
    </xf>
    <xf numFmtId="201" fontId="32" fillId="0" borderId="2" xfId="10" applyNumberFormat="1" applyFont="1" applyBorder="1" applyAlignment="1">
      <alignment horizontal="centerContinuous"/>
    </xf>
    <xf numFmtId="201" fontId="32" fillId="0" borderId="9" xfId="10" applyNumberFormat="1" applyFont="1" applyBorder="1" applyAlignment="1">
      <alignment horizontal="centerContinuous"/>
    </xf>
    <xf numFmtId="201" fontId="32" fillId="0" borderId="10" xfId="10" applyNumberFormat="1" applyFont="1" applyBorder="1" applyAlignment="1">
      <alignment horizontal="centerContinuous"/>
    </xf>
    <xf numFmtId="201" fontId="32" fillId="0" borderId="10" xfId="10" applyNumberFormat="1" applyFont="1" applyBorder="1"/>
    <xf numFmtId="201" fontId="44" fillId="0" borderId="4" xfId="9" applyNumberFormat="1" applyFont="1" applyBorder="1" applyAlignment="1">
      <alignment horizontal="center"/>
    </xf>
    <xf numFmtId="201" fontId="44" fillId="0" borderId="8" xfId="9" applyNumberFormat="1" applyFont="1" applyBorder="1" applyAlignment="1">
      <alignment horizontal="center"/>
    </xf>
    <xf numFmtId="201" fontId="44" fillId="0" borderId="26" xfId="9" applyNumberFormat="1" applyFont="1" applyBorder="1" applyAlignment="1">
      <alignment horizontal="centerContinuous"/>
    </xf>
    <xf numFmtId="201" fontId="44" fillId="0" borderId="4" xfId="9" applyNumberFormat="1" applyFont="1" applyBorder="1" applyAlignment="1">
      <alignment horizontal="right"/>
    </xf>
    <xf numFmtId="201" fontId="32" fillId="0" borderId="10" xfId="9" applyNumberFormat="1" applyFont="1" applyBorder="1"/>
    <xf numFmtId="205" fontId="44" fillId="0" borderId="8" xfId="9" applyNumberFormat="1" applyFont="1" applyBorder="1" applyAlignment="1">
      <alignment horizontal="center"/>
    </xf>
    <xf numFmtId="201" fontId="44" fillId="0" borderId="8" xfId="9" applyNumberFormat="1" applyFont="1" applyBorder="1" applyAlignment="1">
      <alignment horizontal="centerContinuous"/>
    </xf>
    <xf numFmtId="201" fontId="44" fillId="0" borderId="4" xfId="9" applyNumberFormat="1" applyFont="1" applyBorder="1" applyAlignment="1"/>
    <xf numFmtId="201" fontId="44" fillId="2" borderId="8" xfId="10" applyNumberFormat="1" applyFont="1" applyFill="1" applyBorder="1" applyAlignment="1">
      <alignment horizontal="left"/>
    </xf>
    <xf numFmtId="201" fontId="45" fillId="0" borderId="4" xfId="9" applyNumberFormat="1" applyFont="1" applyBorder="1" applyAlignment="1">
      <alignment horizontal="centerContinuous"/>
    </xf>
    <xf numFmtId="201" fontId="46" fillId="0" borderId="4" xfId="10" applyNumberFormat="1" applyFont="1" applyBorder="1"/>
    <xf numFmtId="201" fontId="32" fillId="0" borderId="4" xfId="9" applyNumberFormat="1" applyFont="1" applyBorder="1"/>
    <xf numFmtId="201" fontId="32" fillId="0" borderId="37" xfId="10" applyNumberFormat="1" applyFont="1" applyBorder="1"/>
    <xf numFmtId="201" fontId="32" fillId="0" borderId="40" xfId="0" applyNumberFormat="1" applyFont="1" applyBorder="1"/>
    <xf numFmtId="201" fontId="32" fillId="0" borderId="41" xfId="10" applyNumberFormat="1" applyFont="1" applyBorder="1"/>
    <xf numFmtId="201" fontId="32" fillId="0" borderId="41" xfId="8" applyNumberFormat="1" applyFont="1" applyFill="1" applyBorder="1" applyAlignment="1">
      <alignment horizontal="right"/>
    </xf>
    <xf numFmtId="201" fontId="32" fillId="0" borderId="41" xfId="0" applyNumberFormat="1" applyFont="1" applyBorder="1" applyAlignment="1">
      <alignment horizontal="center"/>
    </xf>
    <xf numFmtId="201" fontId="44" fillId="0" borderId="0" xfId="9" applyNumberFormat="1" applyFont="1" applyBorder="1" applyAlignment="1"/>
    <xf numFmtId="201" fontId="32" fillId="0" borderId="17" xfId="9" applyNumberFormat="1" applyFont="1" applyBorder="1"/>
    <xf numFmtId="201" fontId="38" fillId="0" borderId="22" xfId="10" applyNumberFormat="1" applyFont="1" applyBorder="1" applyAlignment="1">
      <alignment horizontal="centerContinuous"/>
    </xf>
    <xf numFmtId="201" fontId="38" fillId="0" borderId="23" xfId="10" applyNumberFormat="1" applyFont="1" applyBorder="1" applyAlignment="1">
      <alignment horizontal="centerContinuous"/>
    </xf>
    <xf numFmtId="205" fontId="32" fillId="0" borderId="43" xfId="9" applyNumberFormat="1" applyFont="1" applyBorder="1" applyAlignment="1">
      <alignment horizontal="center"/>
    </xf>
    <xf numFmtId="201" fontId="32" fillId="0" borderId="44" xfId="9" applyNumberFormat="1" applyFont="1" applyBorder="1"/>
    <xf numFmtId="201" fontId="32" fillId="0" borderId="23" xfId="9" applyNumberFormat="1" applyFont="1" applyBorder="1"/>
    <xf numFmtId="201" fontId="38" fillId="0" borderId="39" xfId="10" applyNumberFormat="1" applyFont="1" applyBorder="1" applyAlignment="1">
      <alignment horizontal="centerContinuous"/>
    </xf>
    <xf numFmtId="201" fontId="38" fillId="0" borderId="38" xfId="10" applyNumberFormat="1" applyFont="1" applyBorder="1" applyAlignment="1">
      <alignment horizontal="centerContinuous"/>
    </xf>
    <xf numFmtId="201" fontId="32" fillId="0" borderId="32" xfId="10" applyNumberFormat="1" applyFont="1" applyBorder="1"/>
    <xf numFmtId="201" fontId="32" fillId="0" borderId="33" xfId="10" applyNumberFormat="1" applyFont="1" applyBorder="1"/>
    <xf numFmtId="201" fontId="32" fillId="0" borderId="31" xfId="10" applyNumberFormat="1" applyFont="1" applyBorder="1"/>
    <xf numFmtId="201" fontId="57" fillId="0" borderId="31" xfId="10" applyNumberFormat="1" applyFont="1" applyBorder="1"/>
    <xf numFmtId="201" fontId="32" fillId="0" borderId="31" xfId="10" applyNumberFormat="1" applyFont="1" applyBorder="1" applyAlignment="1">
      <alignment horizontal="left"/>
    </xf>
    <xf numFmtId="201" fontId="58" fillId="0" borderId="31" xfId="10" applyNumberFormat="1" applyFont="1" applyBorder="1" applyAlignment="1">
      <alignment horizontal="left"/>
    </xf>
    <xf numFmtId="201" fontId="32" fillId="0" borderId="33" xfId="10" applyNumberFormat="1" applyFont="1" applyBorder="1" applyAlignment="1">
      <alignment horizontal="right"/>
    </xf>
    <xf numFmtId="201" fontId="59" fillId="0" borderId="0" xfId="10" applyNumberFormat="1" applyFont="1"/>
    <xf numFmtId="201" fontId="32" fillId="0" borderId="45" xfId="10" applyNumberFormat="1" applyFont="1" applyBorder="1"/>
    <xf numFmtId="201" fontId="32" fillId="2" borderId="46" xfId="0" applyNumberFormat="1" applyFont="1" applyFill="1" applyBorder="1" applyAlignment="1">
      <alignment horizontal="center"/>
    </xf>
    <xf numFmtId="201" fontId="32" fillId="0" borderId="46" xfId="10" applyNumberFormat="1" applyFont="1" applyBorder="1"/>
    <xf numFmtId="201" fontId="32" fillId="0" borderId="46" xfId="10" applyNumberFormat="1" applyFont="1" applyBorder="1" applyAlignment="1">
      <alignment horizontal="left"/>
    </xf>
    <xf numFmtId="201" fontId="34" fillId="0" borderId="0" xfId="10" applyNumberFormat="1" applyFont="1" applyAlignment="1">
      <alignment horizontal="center" vertical="center"/>
    </xf>
    <xf numFmtId="201" fontId="34" fillId="0" borderId="0" xfId="10" applyNumberFormat="1" applyFont="1" applyAlignment="1">
      <alignment vertical="center"/>
    </xf>
    <xf numFmtId="201" fontId="38" fillId="0" borderId="0" xfId="10" applyNumberFormat="1" applyFont="1" applyAlignment="1">
      <alignment vertical="center"/>
    </xf>
    <xf numFmtId="201" fontId="38" fillId="0" borderId="4" xfId="10" applyNumberFormat="1" applyFont="1" applyBorder="1" applyAlignment="1">
      <alignment horizontal="left"/>
    </xf>
    <xf numFmtId="201" fontId="32" fillId="0" borderId="4" xfId="10" applyNumberFormat="1" applyFont="1" applyBorder="1" applyAlignment="1">
      <alignment horizontal="centerContinuous"/>
    </xf>
    <xf numFmtId="201" fontId="38" fillId="0" borderId="4" xfId="10" applyNumberFormat="1" applyFont="1" applyBorder="1" applyAlignment="1">
      <alignment horizontal="right"/>
    </xf>
    <xf numFmtId="201" fontId="44" fillId="0" borderId="37" xfId="10" applyNumberFormat="1" applyFont="1" applyBorder="1"/>
    <xf numFmtId="201" fontId="45" fillId="0" borderId="37" xfId="10" applyNumberFormat="1" applyFont="1" applyBorder="1" applyAlignment="1">
      <alignment horizontal="centerContinuous"/>
    </xf>
    <xf numFmtId="201" fontId="32" fillId="0" borderId="37" xfId="10" applyNumberFormat="1" applyFont="1" applyBorder="1" applyAlignment="1">
      <alignment horizontal="left"/>
    </xf>
    <xf numFmtId="201" fontId="42" fillId="0" borderId="18" xfId="0" applyNumberFormat="1" applyFont="1" applyBorder="1"/>
    <xf numFmtId="201" fontId="42" fillId="0" borderId="18" xfId="0" applyNumberFormat="1" applyFont="1" applyBorder="1" applyAlignment="1">
      <alignment horizontal="center"/>
    </xf>
    <xf numFmtId="201" fontId="42" fillId="7" borderId="2" xfId="0" applyNumberFormat="1" applyFont="1" applyFill="1" applyBorder="1" applyAlignment="1">
      <alignment horizontal="center" vertical="center" wrapText="1"/>
    </xf>
    <xf numFmtId="201" fontId="42" fillId="7" borderId="6" xfId="0" applyNumberFormat="1" applyFont="1" applyFill="1" applyBorder="1" applyAlignment="1">
      <alignment horizontal="centerContinuous" vertical="center" wrapText="1"/>
    </xf>
    <xf numFmtId="201" fontId="42" fillId="7" borderId="11" xfId="0" applyNumberFormat="1" applyFont="1" applyFill="1" applyBorder="1" applyAlignment="1">
      <alignment horizontal="centerContinuous" vertical="center" wrapText="1"/>
    </xf>
    <xf numFmtId="201" fontId="42" fillId="8" borderId="5" xfId="0" applyNumberFormat="1" applyFont="1" applyFill="1" applyBorder="1" applyAlignment="1">
      <alignment horizontal="center" vertical="justify"/>
    </xf>
    <xf numFmtId="201" fontId="42" fillId="0" borderId="26" xfId="0" applyNumberFormat="1" applyFont="1" applyBorder="1" applyAlignment="1">
      <alignment horizontal="center"/>
    </xf>
    <xf numFmtId="201" fontId="42" fillId="0" borderId="22" xfId="0" applyNumberFormat="1" applyFont="1" applyBorder="1" applyAlignment="1">
      <alignment horizontal="left"/>
    </xf>
    <xf numFmtId="201" fontId="42" fillId="0" borderId="44" xfId="0" quotePrefix="1" applyNumberFormat="1" applyFont="1" applyBorder="1" applyAlignment="1">
      <alignment horizontal="left"/>
    </xf>
    <xf numFmtId="201" fontId="42" fillId="0" borderId="23" xfId="0" quotePrefix="1" applyNumberFormat="1" applyFont="1" applyBorder="1" applyAlignment="1">
      <alignment horizontal="left"/>
    </xf>
    <xf numFmtId="201" fontId="42" fillId="0" borderId="26" xfId="0" applyNumberFormat="1" applyFont="1" applyBorder="1" applyAlignment="1">
      <alignment horizontal="center" vertical="center" wrapText="1"/>
    </xf>
    <xf numFmtId="201" fontId="42" fillId="0" borderId="26" xfId="0" quotePrefix="1" applyNumberFormat="1" applyFont="1" applyBorder="1" applyAlignment="1">
      <alignment horizontal="left"/>
    </xf>
    <xf numFmtId="201" fontId="42" fillId="0" borderId="26" xfId="0" applyNumberFormat="1" applyFont="1" applyBorder="1"/>
    <xf numFmtId="201" fontId="42" fillId="0" borderId="20" xfId="0" applyNumberFormat="1" applyFont="1" applyBorder="1" applyAlignment="1">
      <alignment horizontal="center"/>
    </xf>
    <xf numFmtId="201" fontId="42" fillId="0" borderId="32" xfId="0" applyNumberFormat="1" applyFont="1" applyBorder="1" applyAlignment="1">
      <alignment horizontal="left"/>
    </xf>
    <xf numFmtId="201" fontId="42" fillId="0" borderId="31" xfId="0" quotePrefix="1" applyNumberFormat="1" applyFont="1" applyBorder="1" applyAlignment="1">
      <alignment horizontal="left"/>
    </xf>
    <xf numFmtId="201" fontId="42" fillId="0" borderId="33" xfId="0" quotePrefix="1" applyNumberFormat="1" applyFont="1" applyBorder="1" applyAlignment="1">
      <alignment horizontal="left"/>
    </xf>
    <xf numFmtId="201" fontId="42" fillId="0" borderId="20" xfId="0" applyNumberFormat="1" applyFont="1" applyBorder="1" applyAlignment="1">
      <alignment horizontal="center" vertical="center" wrapText="1"/>
    </xf>
    <xf numFmtId="201" fontId="42" fillId="0" borderId="20" xfId="0" quotePrefix="1" applyNumberFormat="1" applyFont="1" applyBorder="1" applyAlignment="1">
      <alignment horizontal="left"/>
    </xf>
    <xf numFmtId="201" fontId="42" fillId="0" borderId="20" xfId="0" applyNumberFormat="1" applyFont="1" applyBorder="1"/>
    <xf numFmtId="201" fontId="42" fillId="0" borderId="3" xfId="0" applyNumberFormat="1" applyFont="1" applyBorder="1" applyAlignment="1">
      <alignment horizontal="center"/>
    </xf>
    <xf numFmtId="201" fontId="42" fillId="0" borderId="18" xfId="0" applyNumberFormat="1" applyFont="1" applyBorder="1" applyAlignment="1">
      <alignment horizontal="right"/>
    </xf>
    <xf numFmtId="201" fontId="42" fillId="0" borderId="1" xfId="0" applyNumberFormat="1" applyFont="1" applyBorder="1" applyAlignment="1">
      <alignment horizontal="right"/>
    </xf>
    <xf numFmtId="201" fontId="42" fillId="0" borderId="2" xfId="0" applyNumberFormat="1" applyFont="1" applyBorder="1" applyAlignment="1">
      <alignment horizontal="center"/>
    </xf>
    <xf numFmtId="201" fontId="42" fillId="0" borderId="8" xfId="0" applyNumberFormat="1" applyFont="1" applyBorder="1" applyAlignment="1">
      <alignment horizontal="center"/>
    </xf>
    <xf numFmtId="201" fontId="42" fillId="0" borderId="6" xfId="0" applyNumberFormat="1" applyFont="1" applyBorder="1" applyAlignment="1">
      <alignment horizontal="left"/>
    </xf>
    <xf numFmtId="201" fontId="42" fillId="0" borderId="11" xfId="0" applyNumberFormat="1" applyFont="1" applyBorder="1"/>
    <xf numFmtId="201" fontId="42" fillId="0" borderId="2" xfId="0" applyNumberFormat="1" applyFont="1" applyBorder="1" applyAlignment="1">
      <alignment horizontal="right"/>
    </xf>
    <xf numFmtId="201" fontId="42" fillId="0" borderId="0" xfId="0" applyNumberFormat="1" applyFont="1" applyAlignment="1">
      <alignment horizontal="right"/>
    </xf>
    <xf numFmtId="201" fontId="42" fillId="7" borderId="5" xfId="0" applyNumberFormat="1" applyFont="1" applyFill="1" applyBorder="1" applyAlignment="1">
      <alignment horizontal="center" vertical="center" wrapText="1"/>
    </xf>
    <xf numFmtId="201" fontId="42" fillId="7" borderId="5" xfId="0" applyNumberFormat="1" applyFont="1" applyFill="1" applyBorder="1" applyAlignment="1">
      <alignment horizontal="center" vertical="justify"/>
    </xf>
    <xf numFmtId="201" fontId="42" fillId="0" borderId="26" xfId="0" applyNumberFormat="1" applyFont="1" applyBorder="1" applyAlignment="1">
      <alignment horizontal="right"/>
    </xf>
    <xf numFmtId="204" fontId="42" fillId="0" borderId="26" xfId="0" applyNumberFormat="1" applyFont="1" applyBorder="1" applyAlignment="1">
      <alignment horizontal="right" vertical="center"/>
    </xf>
    <xf numFmtId="204" fontId="42" fillId="0" borderId="20" xfId="0" applyNumberFormat="1" applyFont="1" applyBorder="1"/>
    <xf numFmtId="204" fontId="42" fillId="0" borderId="20" xfId="0" applyNumberFormat="1" applyFont="1" applyBorder="1" applyAlignment="1">
      <alignment horizontal="right"/>
    </xf>
    <xf numFmtId="201" fontId="42" fillId="0" borderId="20" xfId="0" applyNumberFormat="1" applyFont="1" applyBorder="1" applyAlignment="1">
      <alignment horizontal="right"/>
    </xf>
    <xf numFmtId="201" fontId="42" fillId="0" borderId="20" xfId="0" applyNumberFormat="1" applyFont="1" applyBorder="1" applyAlignment="1">
      <alignment horizontal="right" vertical="center"/>
    </xf>
    <xf numFmtId="201" fontId="42" fillId="0" borderId="3" xfId="0" applyNumberFormat="1" applyFont="1" applyBorder="1" applyAlignment="1">
      <alignment horizontal="right"/>
    </xf>
    <xf numFmtId="201" fontId="42" fillId="0" borderId="15" xfId="0" applyNumberFormat="1" applyFont="1" applyBorder="1" applyAlignment="1">
      <alignment horizontal="center"/>
    </xf>
    <xf numFmtId="201" fontId="42" fillId="0" borderId="5" xfId="0" applyNumberFormat="1" applyFont="1" applyBorder="1" applyAlignment="1">
      <alignment horizontal="left"/>
    </xf>
    <xf numFmtId="201" fontId="42" fillId="0" borderId="6" xfId="0" applyNumberFormat="1" applyFont="1" applyBorder="1"/>
    <xf numFmtId="201" fontId="42" fillId="0" borderId="5" xfId="0" applyNumberFormat="1" applyFont="1" applyBorder="1" applyAlignment="1">
      <alignment horizontal="right"/>
    </xf>
    <xf numFmtId="201" fontId="42" fillId="0" borderId="47" xfId="0" applyNumberFormat="1" applyFont="1" applyBorder="1" applyAlignment="1">
      <alignment horizontal="center"/>
    </xf>
    <xf numFmtId="201" fontId="42" fillId="0" borderId="48" xfId="0" applyNumberFormat="1" applyFont="1" applyBorder="1" applyAlignment="1">
      <alignment horizontal="left"/>
    </xf>
    <xf numFmtId="201" fontId="42" fillId="0" borderId="49" xfId="0" applyNumberFormat="1" applyFont="1" applyBorder="1" applyAlignment="1">
      <alignment horizontal="left"/>
    </xf>
    <xf numFmtId="201" fontId="42" fillId="0" borderId="49" xfId="0" quotePrefix="1" applyNumberFormat="1" applyFont="1" applyBorder="1" applyAlignment="1">
      <alignment horizontal="right"/>
    </xf>
    <xf numFmtId="201" fontId="42" fillId="0" borderId="50" xfId="0" quotePrefix="1" applyNumberFormat="1" applyFont="1" applyBorder="1" applyAlignment="1">
      <alignment horizontal="left"/>
    </xf>
    <xf numFmtId="201" fontId="42" fillId="0" borderId="51" xfId="0" applyNumberFormat="1" applyFont="1" applyBorder="1" applyAlignment="1">
      <alignment horizontal="center"/>
    </xf>
    <xf numFmtId="201" fontId="42" fillId="0" borderId="52" xfId="0" applyNumberFormat="1" applyFont="1" applyBorder="1" applyAlignment="1">
      <alignment horizontal="left"/>
    </xf>
    <xf numFmtId="201" fontId="42" fillId="0" borderId="53" xfId="0" applyNumberFormat="1" applyFont="1" applyBorder="1" applyAlignment="1">
      <alignment horizontal="left"/>
    </xf>
    <xf numFmtId="201" fontId="42" fillId="0" borderId="53" xfId="0" quotePrefix="1" applyNumberFormat="1" applyFont="1" applyBorder="1" applyAlignment="1">
      <alignment horizontal="right"/>
    </xf>
    <xf numFmtId="201" fontId="42" fillId="0" borderId="54" xfId="0" quotePrefix="1" applyNumberFormat="1" applyFont="1" applyBorder="1" applyAlignment="1">
      <alignment horizontal="left"/>
    </xf>
    <xf numFmtId="201" fontId="42" fillId="0" borderId="3" xfId="0" applyNumberFormat="1" applyFont="1" applyBorder="1" applyAlignment="1">
      <alignment horizontal="left"/>
    </xf>
    <xf numFmtId="0" fontId="43" fillId="2" borderId="4" xfId="0" applyFont="1" applyFill="1" applyBorder="1" applyAlignment="1">
      <alignment horizontal="left"/>
    </xf>
    <xf numFmtId="0" fontId="43" fillId="2" borderId="4" xfId="0" applyFont="1" applyFill="1" applyBorder="1" applyAlignment="1">
      <alignment horizontal="centerContinuous"/>
    </xf>
    <xf numFmtId="0" fontId="43" fillId="2" borderId="4" xfId="0" applyFont="1" applyFill="1" applyBorder="1"/>
    <xf numFmtId="2" fontId="43" fillId="2" borderId="4" xfId="0" applyNumberFormat="1" applyFont="1" applyFill="1" applyBorder="1" applyAlignment="1">
      <alignment horizontal="centerContinuous"/>
    </xf>
    <xf numFmtId="191" fontId="43" fillId="2" borderId="4" xfId="0" applyNumberFormat="1" applyFont="1" applyFill="1" applyBorder="1" applyAlignment="1">
      <alignment horizontal="centerContinuous"/>
    </xf>
    <xf numFmtId="3" fontId="43" fillId="2" borderId="4" xfId="0" applyNumberFormat="1" applyFont="1" applyFill="1" applyBorder="1" applyAlignment="1">
      <alignment horizontal="centerContinuous"/>
    </xf>
    <xf numFmtId="4" fontId="43" fillId="2" borderId="4" xfId="0" applyNumberFormat="1" applyFont="1" applyFill="1" applyBorder="1" applyAlignment="1">
      <alignment horizontal="centerContinuous"/>
    </xf>
    <xf numFmtId="0" fontId="42" fillId="2" borderId="4" xfId="0" applyFont="1" applyFill="1" applyBorder="1"/>
    <xf numFmtId="0" fontId="42" fillId="2" borderId="0" xfId="0" applyFont="1" applyFill="1"/>
    <xf numFmtId="191" fontId="43" fillId="2" borderId="4" xfId="0" applyNumberFormat="1" applyFont="1" applyFill="1" applyBorder="1" applyAlignment="1">
      <alignment horizontal="right"/>
    </xf>
    <xf numFmtId="204" fontId="43" fillId="2" borderId="4" xfId="0" applyNumberFormat="1" applyFont="1" applyFill="1" applyBorder="1" applyAlignment="1">
      <alignment horizontal="center"/>
    </xf>
    <xf numFmtId="0" fontId="60" fillId="2" borderId="4" xfId="0" applyFont="1" applyFill="1" applyBorder="1" applyAlignment="1">
      <alignment horizontal="centerContinuous"/>
    </xf>
    <xf numFmtId="2" fontId="43" fillId="2" borderId="4" xfId="0" applyNumberFormat="1" applyFont="1" applyFill="1" applyBorder="1"/>
    <xf numFmtId="191" fontId="43" fillId="2" borderId="4" xfId="0" applyNumberFormat="1" applyFont="1" applyFill="1" applyBorder="1"/>
    <xf numFmtId="49" fontId="60" fillId="2" borderId="4" xfId="0" applyNumberFormat="1" applyFont="1" applyFill="1" applyBorder="1"/>
    <xf numFmtId="4" fontId="60" fillId="2" borderId="4" xfId="0" applyNumberFormat="1" applyFont="1" applyFill="1" applyBorder="1" applyAlignment="1">
      <alignment horizontal="centerContinuous"/>
    </xf>
    <xf numFmtId="0" fontId="60" fillId="2" borderId="4" xfId="0" applyFont="1" applyFill="1" applyBorder="1"/>
    <xf numFmtId="3" fontId="60" fillId="2" borderId="4" xfId="0" applyNumberFormat="1" applyFont="1" applyFill="1" applyBorder="1"/>
    <xf numFmtId="0" fontId="61" fillId="2" borderId="4" xfId="0" applyFont="1" applyFill="1" applyBorder="1"/>
    <xf numFmtId="196" fontId="60" fillId="2" borderId="4" xfId="0" applyNumberFormat="1" applyFont="1" applyFill="1" applyBorder="1"/>
    <xf numFmtId="0" fontId="43" fillId="2" borderId="0" xfId="0" applyFont="1" applyFill="1" applyAlignment="1">
      <alignment horizontal="left"/>
    </xf>
    <xf numFmtId="0" fontId="43" fillId="2" borderId="0" xfId="0" applyFont="1" applyFill="1" applyAlignment="1">
      <alignment horizontal="centerContinuous"/>
    </xf>
    <xf numFmtId="2" fontId="43" fillId="2" borderId="0" xfId="0" applyNumberFormat="1" applyFont="1" applyFill="1"/>
    <xf numFmtId="191" fontId="43" fillId="2" borderId="0" xfId="0" applyNumberFormat="1" applyFont="1" applyFill="1" applyAlignment="1">
      <alignment horizontal="centerContinuous"/>
    </xf>
    <xf numFmtId="3" fontId="43" fillId="2" borderId="0" xfId="0" applyNumberFormat="1" applyFont="1" applyFill="1" applyAlignment="1">
      <alignment horizontal="centerContinuous"/>
    </xf>
    <xf numFmtId="4" fontId="43" fillId="2" borderId="0" xfId="0" applyNumberFormat="1" applyFont="1" applyFill="1" applyAlignment="1">
      <alignment horizontal="centerContinuous"/>
    </xf>
    <xf numFmtId="0" fontId="42" fillId="2" borderId="0" xfId="0" applyFont="1" applyFill="1" applyAlignment="1">
      <alignment horizontal="right"/>
    </xf>
    <xf numFmtId="0" fontId="43" fillId="2" borderId="12" xfId="0" applyFont="1" applyFill="1" applyBorder="1" applyAlignment="1">
      <alignment horizontal="center"/>
    </xf>
    <xf numFmtId="0" fontId="43" fillId="2" borderId="13" xfId="0" applyFont="1" applyFill="1" applyBorder="1" applyAlignment="1">
      <alignment horizontal="centerContinuous"/>
    </xf>
    <xf numFmtId="0" fontId="43" fillId="2" borderId="14" xfId="0" applyFont="1" applyFill="1" applyBorder="1" applyAlignment="1">
      <alignment horizontal="centerContinuous"/>
    </xf>
    <xf numFmtId="2" fontId="43" fillId="2" borderId="12" xfId="0" applyNumberFormat="1" applyFont="1" applyFill="1" applyBorder="1" applyAlignment="1">
      <alignment horizontal="centerContinuous"/>
    </xf>
    <xf numFmtId="0" fontId="43" fillId="2" borderId="12" xfId="0" applyFont="1" applyFill="1" applyBorder="1" applyAlignment="1">
      <alignment horizontal="centerContinuous"/>
    </xf>
    <xf numFmtId="191" fontId="43" fillId="2" borderId="5" xfId="0" applyNumberFormat="1" applyFont="1" applyFill="1" applyBorder="1" applyAlignment="1">
      <alignment horizontal="centerContinuous"/>
    </xf>
    <xf numFmtId="3" fontId="43" fillId="2" borderId="5" xfId="0" applyNumberFormat="1" applyFont="1" applyFill="1" applyBorder="1" applyAlignment="1">
      <alignment horizontal="centerContinuous"/>
    </xf>
    <xf numFmtId="4" fontId="43" fillId="2" borderId="5" xfId="0" applyNumberFormat="1" applyFont="1" applyFill="1" applyBorder="1" applyAlignment="1">
      <alignment horizontal="centerContinuous"/>
    </xf>
    <xf numFmtId="0" fontId="43" fillId="2" borderId="12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/>
    </xf>
    <xf numFmtId="0" fontId="43" fillId="2" borderId="3" xfId="0" applyFont="1" applyFill="1" applyBorder="1" applyAlignment="1">
      <alignment horizontal="left"/>
    </xf>
    <xf numFmtId="0" fontId="43" fillId="2" borderId="1" xfId="0" applyFont="1" applyFill="1" applyBorder="1" applyAlignment="1">
      <alignment horizontal="left"/>
    </xf>
    <xf numFmtId="2" fontId="43" fillId="2" borderId="3" xfId="0" applyNumberFormat="1" applyFont="1" applyFill="1" applyBorder="1" applyAlignment="1">
      <alignment horizontal="centerContinuous"/>
    </xf>
    <xf numFmtId="0" fontId="43" fillId="2" borderId="1" xfId="0" applyFont="1" applyFill="1" applyBorder="1" applyAlignment="1">
      <alignment horizontal="centerContinuous"/>
    </xf>
    <xf numFmtId="191" fontId="62" fillId="2" borderId="2" xfId="0" applyNumberFormat="1" applyFont="1" applyFill="1" applyBorder="1" applyAlignment="1">
      <alignment horizontal="center"/>
    </xf>
    <xf numFmtId="3" fontId="43" fillId="2" borderId="2" xfId="0" applyNumberFormat="1" applyFont="1" applyFill="1" applyBorder="1" applyAlignment="1">
      <alignment horizontal="center"/>
    </xf>
    <xf numFmtId="4" fontId="43" fillId="2" borderId="2" xfId="0" applyNumberFormat="1" applyFont="1" applyFill="1" applyBorder="1" applyAlignment="1">
      <alignment horizontal="center"/>
    </xf>
    <xf numFmtId="0" fontId="42" fillId="2" borderId="2" xfId="0" applyFont="1" applyFill="1" applyBorder="1"/>
    <xf numFmtId="49" fontId="60" fillId="2" borderId="4" xfId="0" applyNumberFormat="1" applyFont="1" applyFill="1" applyBorder="1" applyAlignment="1">
      <alignment horizontal="left"/>
    </xf>
    <xf numFmtId="0" fontId="42" fillId="2" borderId="0" xfId="0" applyFont="1" applyFill="1" applyAlignment="1">
      <alignment horizontal="center"/>
    </xf>
    <xf numFmtId="3" fontId="60" fillId="2" borderId="4" xfId="0" applyNumberFormat="1" applyFont="1" applyFill="1" applyBorder="1" applyAlignment="1">
      <alignment horizontal="left"/>
    </xf>
    <xf numFmtId="0" fontId="43" fillId="2" borderId="37" xfId="0" applyFont="1" applyFill="1" applyBorder="1" applyAlignment="1">
      <alignment horizontal="centerContinuous"/>
    </xf>
    <xf numFmtId="0" fontId="60" fillId="2" borderId="37" xfId="0" applyFont="1" applyFill="1" applyBorder="1" applyAlignment="1">
      <alignment horizontal="centerContinuous"/>
    </xf>
    <xf numFmtId="2" fontId="43" fillId="2" borderId="37" xfId="0" applyNumberFormat="1" applyFont="1" applyFill="1" applyBorder="1"/>
    <xf numFmtId="191" fontId="43" fillId="2" borderId="37" xfId="0" applyNumberFormat="1" applyFont="1" applyFill="1" applyBorder="1"/>
    <xf numFmtId="49" fontId="60" fillId="2" borderId="37" xfId="0" applyNumberFormat="1" applyFont="1" applyFill="1" applyBorder="1" applyAlignment="1">
      <alignment horizontal="left"/>
    </xf>
    <xf numFmtId="3" fontId="60" fillId="2" borderId="37" xfId="0" applyNumberFormat="1" applyFont="1" applyFill="1" applyBorder="1"/>
    <xf numFmtId="4" fontId="60" fillId="2" borderId="37" xfId="0" applyNumberFormat="1" applyFont="1" applyFill="1" applyBorder="1" applyAlignment="1">
      <alignment horizontal="centerContinuous"/>
    </xf>
    <xf numFmtId="4" fontId="43" fillId="2" borderId="37" xfId="0" applyNumberFormat="1" applyFont="1" applyFill="1" applyBorder="1" applyAlignment="1">
      <alignment horizontal="centerContinuous"/>
    </xf>
    <xf numFmtId="0" fontId="43" fillId="2" borderId="31" xfId="0" applyFont="1" applyFill="1" applyBorder="1" applyAlignment="1">
      <alignment horizontal="left"/>
    </xf>
    <xf numFmtId="0" fontId="43" fillId="2" borderId="31" xfId="0" applyFont="1" applyFill="1" applyBorder="1" applyAlignment="1">
      <alignment horizontal="centerContinuous"/>
    </xf>
    <xf numFmtId="2" fontId="43" fillId="2" borderId="31" xfId="0" applyNumberFormat="1" applyFont="1" applyFill="1" applyBorder="1"/>
    <xf numFmtId="191" fontId="43" fillId="2" borderId="31" xfId="0" applyNumberFormat="1" applyFont="1" applyFill="1" applyBorder="1" applyAlignment="1">
      <alignment horizontal="centerContinuous"/>
    </xf>
    <xf numFmtId="3" fontId="43" fillId="2" borderId="31" xfId="0" applyNumberFormat="1" applyFont="1" applyFill="1" applyBorder="1" applyAlignment="1">
      <alignment horizontal="centerContinuous"/>
    </xf>
    <xf numFmtId="4" fontId="43" fillId="2" borderId="31" xfId="0" applyNumberFormat="1" applyFont="1" applyFill="1" applyBorder="1" applyAlignment="1">
      <alignment horizontal="centerContinuous"/>
    </xf>
    <xf numFmtId="204" fontId="32" fillId="0" borderId="0" xfId="0" applyNumberFormat="1" applyFont="1" applyAlignment="1">
      <alignment horizontal="left"/>
    </xf>
    <xf numFmtId="201" fontId="63" fillId="0" borderId="0" xfId="0" applyNumberFormat="1" applyFont="1" applyAlignment="1">
      <alignment horizontal="left"/>
    </xf>
    <xf numFmtId="204" fontId="63" fillId="0" borderId="0" xfId="0" applyNumberFormat="1" applyFont="1" applyAlignment="1">
      <alignment horizontal="left"/>
    </xf>
    <xf numFmtId="201" fontId="50" fillId="2" borderId="19" xfId="10" applyNumberFormat="1" applyFont="1" applyFill="1" applyBorder="1" applyAlignment="1">
      <alignment horizontal="left"/>
    </xf>
    <xf numFmtId="201" fontId="42" fillId="0" borderId="4" xfId="10" applyNumberFormat="1" applyFont="1" applyBorder="1"/>
    <xf numFmtId="201" fontId="50" fillId="2" borderId="8" xfId="10" applyNumberFormat="1" applyFont="1" applyFill="1" applyBorder="1" applyAlignment="1">
      <alignment horizontal="left"/>
    </xf>
    <xf numFmtId="201" fontId="42" fillId="0" borderId="12" xfId="10" applyNumberFormat="1" applyFont="1" applyBorder="1" applyAlignment="1">
      <alignment horizontal="centerContinuous"/>
    </xf>
    <xf numFmtId="204" fontId="42" fillId="0" borderId="0" xfId="0" applyNumberFormat="1" applyFont="1" applyAlignment="1">
      <alignment horizontal="left"/>
    </xf>
    <xf numFmtId="201" fontId="42" fillId="0" borderId="2" xfId="10" applyNumberFormat="1" applyFont="1" applyBorder="1" applyAlignment="1">
      <alignment horizontal="center"/>
    </xf>
    <xf numFmtId="201" fontId="42" fillId="0" borderId="5" xfId="0" applyNumberFormat="1" applyFont="1" applyBorder="1" applyAlignment="1">
      <alignment horizontal="center"/>
    </xf>
    <xf numFmtId="201" fontId="42" fillId="0" borderId="12" xfId="0" applyNumberFormat="1" applyFont="1" applyBorder="1" applyAlignment="1">
      <alignment horizontal="center"/>
    </xf>
    <xf numFmtId="201" fontId="42" fillId="0" borderId="26" xfId="10" applyNumberFormat="1" applyFont="1" applyBorder="1" applyAlignment="1">
      <alignment horizontal="centerContinuous"/>
    </xf>
    <xf numFmtId="201" fontId="42" fillId="0" borderId="44" xfId="10" applyNumberFormat="1" applyFont="1" applyBorder="1"/>
    <xf numFmtId="201" fontId="42" fillId="0" borderId="23" xfId="10" applyNumberFormat="1" applyFont="1" applyBorder="1"/>
    <xf numFmtId="201" fontId="42" fillId="0" borderId="22" xfId="10" applyNumberFormat="1" applyFont="1" applyBorder="1"/>
    <xf numFmtId="204" fontId="42" fillId="0" borderId="26" xfId="0" applyNumberFormat="1" applyFont="1" applyBorder="1"/>
    <xf numFmtId="206" fontId="42" fillId="0" borderId="26" xfId="0" applyNumberFormat="1" applyFont="1" applyBorder="1" applyAlignment="1">
      <alignment horizontal="center"/>
    </xf>
    <xf numFmtId="201" fontId="42" fillId="0" borderId="55" xfId="10" applyNumberFormat="1" applyFont="1" applyBorder="1" applyAlignment="1">
      <alignment horizontal="centerContinuous"/>
    </xf>
    <xf numFmtId="201" fontId="42" fillId="0" borderId="37" xfId="10" applyNumberFormat="1" applyFont="1" applyBorder="1"/>
    <xf numFmtId="201" fontId="42" fillId="0" borderId="38" xfId="10" applyNumberFormat="1" applyFont="1" applyBorder="1"/>
    <xf numFmtId="204" fontId="42" fillId="0" borderId="55" xfId="0" applyNumberFormat="1" applyFont="1" applyBorder="1"/>
    <xf numFmtId="206" fontId="42" fillId="0" borderId="55" xfId="0" applyNumberFormat="1" applyFont="1" applyBorder="1"/>
    <xf numFmtId="201" fontId="48" fillId="0" borderId="37" xfId="9" applyNumberFormat="1" applyFont="1" applyBorder="1" applyAlignment="1">
      <alignment horizontal="centerContinuous"/>
    </xf>
    <xf numFmtId="201" fontId="48" fillId="0" borderId="38" xfId="9" applyNumberFormat="1" applyFont="1" applyBorder="1" applyAlignment="1">
      <alignment horizontal="centerContinuous"/>
    </xf>
    <xf numFmtId="204" fontId="42" fillId="0" borderId="5" xfId="0" applyNumberFormat="1" applyFont="1" applyBorder="1"/>
    <xf numFmtId="206" fontId="42" fillId="0" borderId="5" xfId="0" applyNumberFormat="1" applyFont="1" applyBorder="1"/>
    <xf numFmtId="201" fontId="32" fillId="0" borderId="0" xfId="0" applyNumberFormat="1" applyFont="1" applyAlignment="1">
      <alignment horizontal="left" vertical="center"/>
    </xf>
    <xf numFmtId="201" fontId="32" fillId="0" borderId="0" xfId="0" applyNumberFormat="1" applyFont="1" applyAlignment="1">
      <alignment horizontal="right" vertical="center"/>
    </xf>
    <xf numFmtId="201" fontId="38" fillId="0" borderId="0" xfId="0" applyNumberFormat="1" applyFont="1" applyAlignment="1">
      <alignment horizontal="left" vertical="center"/>
    </xf>
    <xf numFmtId="201" fontId="51" fillId="0" borderId="0" xfId="0" applyNumberFormat="1" applyFont="1" applyAlignment="1">
      <alignment horizontal="left" vertical="center"/>
    </xf>
    <xf numFmtId="201" fontId="52" fillId="0" borderId="0" xfId="0" applyNumberFormat="1" applyFont="1" applyAlignment="1">
      <alignment horizontal="left" vertical="center"/>
    </xf>
    <xf numFmtId="201" fontId="64" fillId="0" borderId="0" xfId="0" applyNumberFormat="1" applyFont="1" applyAlignment="1">
      <alignment horizontal="left" vertical="center"/>
    </xf>
    <xf numFmtId="201" fontId="42" fillId="0" borderId="0" xfId="0" applyNumberFormat="1" applyFont="1" applyAlignment="1">
      <alignment horizontal="left" vertical="center"/>
    </xf>
    <xf numFmtId="0" fontId="66" fillId="0" borderId="0" xfId="0" applyFont="1" applyAlignment="1">
      <alignment horizontal="center"/>
    </xf>
    <xf numFmtId="0" fontId="67" fillId="0" borderId="0" xfId="0" applyFont="1"/>
    <xf numFmtId="0" fontId="38" fillId="0" borderId="0" xfId="0" applyFont="1" applyAlignment="1">
      <alignment horizontal="center"/>
    </xf>
    <xf numFmtId="0" fontId="38" fillId="0" borderId="0" xfId="0" applyFont="1"/>
    <xf numFmtId="0" fontId="51" fillId="0" borderId="0" xfId="0" applyFont="1"/>
    <xf numFmtId="0" fontId="68" fillId="9" borderId="6" xfId="0" applyFont="1" applyFill="1" applyBorder="1"/>
    <xf numFmtId="0" fontId="32" fillId="9" borderId="11" xfId="0" applyFont="1" applyFill="1" applyBorder="1"/>
    <xf numFmtId="0" fontId="32" fillId="9" borderId="7" xfId="0" applyFont="1" applyFill="1" applyBorder="1"/>
    <xf numFmtId="0" fontId="41" fillId="9" borderId="11" xfId="0" applyFont="1" applyFill="1" applyBorder="1"/>
    <xf numFmtId="0" fontId="41" fillId="9" borderId="7" xfId="0" applyFont="1" applyFill="1" applyBorder="1"/>
    <xf numFmtId="0" fontId="69" fillId="9" borderId="6" xfId="0" applyFont="1" applyFill="1" applyBorder="1"/>
    <xf numFmtId="0" fontId="69" fillId="9" borderId="11" xfId="0" applyFont="1" applyFill="1" applyBorder="1"/>
    <xf numFmtId="0" fontId="69" fillId="9" borderId="7" xfId="0" applyFont="1" applyFill="1" applyBorder="1"/>
    <xf numFmtId="0" fontId="69" fillId="0" borderId="0" xfId="0" applyFont="1"/>
    <xf numFmtId="0" fontId="68" fillId="9" borderId="11" xfId="0" applyFont="1" applyFill="1" applyBorder="1"/>
    <xf numFmtId="0" fontId="68" fillId="9" borderId="7" xfId="0" applyFont="1" applyFill="1" applyBorder="1"/>
    <xf numFmtId="0" fontId="68" fillId="0" borderId="0" xfId="0" applyFont="1"/>
    <xf numFmtId="201" fontId="42" fillId="0" borderId="37" xfId="10" applyNumberFormat="1" applyFont="1" applyBorder="1" applyAlignment="1">
      <alignment horizontal="left"/>
    </xf>
    <xf numFmtId="201" fontId="37" fillId="0" borderId="0" xfId="0" applyNumberFormat="1" applyFont="1" applyAlignment="1">
      <alignment horizontal="left"/>
    </xf>
    <xf numFmtId="202" fontId="32" fillId="0" borderId="0" xfId="0" applyNumberFormat="1" applyFont="1" applyAlignment="1">
      <alignment horizontal="center"/>
    </xf>
    <xf numFmtId="0" fontId="71" fillId="0" borderId="0" xfId="7" applyFont="1" applyAlignment="1">
      <alignment horizontal="centerContinuous"/>
    </xf>
    <xf numFmtId="0" fontId="42" fillId="0" borderId="0" xfId="7" applyFont="1"/>
    <xf numFmtId="0" fontId="71" fillId="0" borderId="0" xfId="7" applyFont="1" applyAlignment="1">
      <alignment horizontal="center"/>
    </xf>
    <xf numFmtId="0" fontId="36" fillId="0" borderId="0" xfId="7" applyFont="1" applyAlignment="1">
      <alignment horizontal="centerContinuous"/>
    </xf>
    <xf numFmtId="0" fontId="36" fillId="0" borderId="0" xfId="7" applyFont="1" applyAlignment="1">
      <alignment horizontal="center"/>
    </xf>
    <xf numFmtId="0" fontId="43" fillId="0" borderId="0" xfId="7" applyFont="1" applyAlignment="1">
      <alignment vertical="center"/>
    </xf>
    <xf numFmtId="0" fontId="42" fillId="0" borderId="0" xfId="7" applyFont="1" applyAlignment="1">
      <alignment vertical="center"/>
    </xf>
    <xf numFmtId="0" fontId="71" fillId="6" borderId="13" xfId="7" applyFont="1" applyFill="1" applyBorder="1" applyAlignment="1">
      <alignment horizontal="centerContinuous" vertical="top"/>
    </xf>
    <xf numFmtId="0" fontId="71" fillId="6" borderId="14" xfId="7" applyFont="1" applyFill="1" applyBorder="1" applyAlignment="1">
      <alignment horizontal="centerContinuous" vertical="top"/>
    </xf>
    <xf numFmtId="0" fontId="71" fillId="6" borderId="12" xfId="7" applyFont="1" applyFill="1" applyBorder="1" applyAlignment="1">
      <alignment horizontal="center" vertical="top"/>
    </xf>
    <xf numFmtId="0" fontId="43" fillId="6" borderId="13" xfId="7" applyFont="1" applyFill="1" applyBorder="1" applyAlignment="1">
      <alignment horizontal="centerContinuous" vertical="center"/>
    </xf>
    <xf numFmtId="0" fontId="43" fillId="6" borderId="34" xfId="7" applyFont="1" applyFill="1" applyBorder="1" applyAlignment="1">
      <alignment horizontal="centerContinuous" vertical="center"/>
    </xf>
    <xf numFmtId="0" fontId="43" fillId="6" borderId="14" xfId="7" applyFont="1" applyFill="1" applyBorder="1" applyAlignment="1">
      <alignment horizontal="centerContinuous" vertical="center"/>
    </xf>
    <xf numFmtId="0" fontId="71" fillId="6" borderId="16" xfId="7" applyFont="1" applyFill="1" applyBorder="1" applyAlignment="1">
      <alignment horizontal="center" vertical="top"/>
    </xf>
    <xf numFmtId="0" fontId="71" fillId="6" borderId="17" xfId="7" applyFont="1" applyFill="1" applyBorder="1" applyAlignment="1">
      <alignment horizontal="center" vertical="top"/>
    </xf>
    <xf numFmtId="0" fontId="71" fillId="6" borderId="15" xfId="7" applyFont="1" applyFill="1" applyBorder="1" applyAlignment="1">
      <alignment horizontal="center" vertical="top"/>
    </xf>
    <xf numFmtId="0" fontId="43" fillId="6" borderId="16" xfId="7" applyFont="1" applyFill="1" applyBorder="1" applyAlignment="1">
      <alignment horizontal="centerContinuous" vertical="center"/>
    </xf>
    <xf numFmtId="0" fontId="43" fillId="6" borderId="0" xfId="7" applyFont="1" applyFill="1" applyAlignment="1">
      <alignment horizontal="centerContinuous" vertical="center"/>
    </xf>
    <xf numFmtId="0" fontId="43" fillId="6" borderId="17" xfId="7" applyFont="1" applyFill="1" applyBorder="1" applyAlignment="1">
      <alignment horizontal="centerContinuous" vertical="center"/>
    </xf>
    <xf numFmtId="0" fontId="71" fillId="6" borderId="3" xfId="7" applyFont="1" applyFill="1" applyBorder="1" applyAlignment="1">
      <alignment horizontal="centerContinuous" vertical="top"/>
    </xf>
    <xf numFmtId="0" fontId="71" fillId="6" borderId="1" xfId="7" applyFont="1" applyFill="1" applyBorder="1" applyAlignment="1">
      <alignment horizontal="centerContinuous" vertical="top"/>
    </xf>
    <xf numFmtId="0" fontId="71" fillId="6" borderId="2" xfId="7" applyFont="1" applyFill="1" applyBorder="1" applyAlignment="1">
      <alignment horizontal="center" vertical="top"/>
    </xf>
    <xf numFmtId="0" fontId="43" fillId="6" borderId="3" xfId="7" applyFont="1" applyFill="1" applyBorder="1" applyAlignment="1">
      <alignment horizontal="centerContinuous" vertical="center"/>
    </xf>
    <xf numFmtId="0" fontId="43" fillId="6" borderId="18" xfId="7" applyFont="1" applyFill="1" applyBorder="1" applyAlignment="1">
      <alignment horizontal="centerContinuous" vertical="center"/>
    </xf>
    <xf numFmtId="0" fontId="43" fillId="6" borderId="1" xfId="7" applyFont="1" applyFill="1" applyBorder="1" applyAlignment="1">
      <alignment horizontal="centerContinuous" vertical="center"/>
    </xf>
    <xf numFmtId="0" fontId="63" fillId="0" borderId="13" xfId="7" applyFont="1" applyBorder="1" applyAlignment="1">
      <alignment vertical="center"/>
    </xf>
    <xf numFmtId="0" fontId="63" fillId="0" borderId="14" xfId="7" applyFont="1" applyBorder="1" applyAlignment="1">
      <alignment horizontal="center" vertical="center"/>
    </xf>
    <xf numFmtId="0" fontId="63" fillId="0" borderId="12" xfId="7" applyFont="1" applyBorder="1" applyAlignment="1">
      <alignment horizontal="center" vertical="center"/>
    </xf>
    <xf numFmtId="2" fontId="63" fillId="0" borderId="12" xfId="7" applyNumberFormat="1" applyFont="1" applyBorder="1" applyAlignment="1">
      <alignment horizontal="center" vertical="center"/>
    </xf>
    <xf numFmtId="197" fontId="71" fillId="0" borderId="12" xfId="7" applyNumberFormat="1" applyFont="1" applyBorder="1" applyAlignment="1">
      <alignment horizontal="center" vertical="center"/>
    </xf>
    <xf numFmtId="0" fontId="42" fillId="0" borderId="14" xfId="7" applyFont="1" applyBorder="1"/>
    <xf numFmtId="0" fontId="63" fillId="0" borderId="16" xfId="7" applyFont="1" applyBorder="1" applyAlignment="1">
      <alignment vertical="center"/>
    </xf>
    <xf numFmtId="0" fontId="63" fillId="0" borderId="17" xfId="7" applyFont="1" applyBorder="1" applyAlignment="1">
      <alignment horizontal="center" vertical="center"/>
    </xf>
    <xf numFmtId="0" fontId="63" fillId="0" borderId="15" xfId="7" applyFont="1" applyBorder="1" applyAlignment="1">
      <alignment horizontal="center" vertical="center"/>
    </xf>
    <xf numFmtId="2" fontId="63" fillId="0" borderId="15" xfId="7" applyNumberFormat="1" applyFont="1" applyBorder="1" applyAlignment="1">
      <alignment horizontal="center" vertical="center"/>
    </xf>
    <xf numFmtId="197" fontId="71" fillId="0" borderId="15" xfId="7" applyNumberFormat="1" applyFont="1" applyBorder="1" applyAlignment="1">
      <alignment horizontal="center" vertical="center"/>
    </xf>
    <xf numFmtId="0" fontId="43" fillId="0" borderId="0" xfId="7" applyFont="1" applyAlignment="1">
      <alignment vertical="top"/>
    </xf>
    <xf numFmtId="0" fontId="42" fillId="0" borderId="17" xfId="7" applyFont="1" applyBorder="1"/>
    <xf numFmtId="0" fontId="63" fillId="0" borderId="0" xfId="7" applyFont="1" applyAlignment="1">
      <alignment horizontal="center" vertical="top"/>
    </xf>
    <xf numFmtId="0" fontId="63" fillId="0" borderId="0" xfId="7" applyFont="1" applyAlignment="1">
      <alignment vertical="top"/>
    </xf>
    <xf numFmtId="0" fontId="63" fillId="0" borderId="3" xfId="7" applyFont="1" applyBorder="1" applyAlignment="1">
      <alignment horizontal="center" vertical="center"/>
    </xf>
    <xf numFmtId="0" fontId="63" fillId="0" borderId="1" xfId="7" applyFont="1" applyBorder="1" applyAlignment="1">
      <alignment horizontal="center" vertical="center"/>
    </xf>
    <xf numFmtId="0" fontId="63" fillId="0" borderId="2" xfId="7" applyFont="1" applyBorder="1" applyAlignment="1">
      <alignment horizontal="center" vertical="center"/>
    </xf>
    <xf numFmtId="2" fontId="63" fillId="0" borderId="2" xfId="7" applyNumberFormat="1" applyFont="1" applyBorder="1" applyAlignment="1">
      <alignment horizontal="center" vertical="center"/>
    </xf>
    <xf numFmtId="197" fontId="71" fillId="0" borderId="2" xfId="7" applyNumberFormat="1" applyFont="1" applyBorder="1" applyAlignment="1">
      <alignment horizontal="center" vertical="center"/>
    </xf>
    <xf numFmtId="0" fontId="42" fillId="0" borderId="18" xfId="7" applyFont="1" applyBorder="1"/>
    <xf numFmtId="0" fontId="42" fillId="0" borderId="1" xfId="7" applyFont="1" applyBorder="1"/>
    <xf numFmtId="0" fontId="43" fillId="6" borderId="3" xfId="7" applyFont="1" applyFill="1" applyBorder="1" applyAlignment="1">
      <alignment vertical="center"/>
    </xf>
    <xf numFmtId="0" fontId="43" fillId="6" borderId="1" xfId="7" applyFont="1" applyFill="1" applyBorder="1" applyAlignment="1">
      <alignment vertical="center"/>
    </xf>
    <xf numFmtId="0" fontId="63" fillId="0" borderId="13" xfId="7" applyFont="1" applyBorder="1" applyAlignment="1">
      <alignment horizontal="center" vertical="center"/>
    </xf>
    <xf numFmtId="197" fontId="63" fillId="0" borderId="13" xfId="7" applyNumberFormat="1" applyFont="1" applyBorder="1" applyAlignment="1">
      <alignment horizontal="centerContinuous" vertical="center"/>
    </xf>
    <xf numFmtId="197" fontId="63" fillId="0" borderId="14" xfId="7" applyNumberFormat="1" applyFont="1" applyBorder="1" applyAlignment="1">
      <alignment horizontal="centerContinuous" vertical="center"/>
    </xf>
    <xf numFmtId="197" fontId="71" fillId="0" borderId="13" xfId="7" applyNumberFormat="1" applyFont="1" applyBorder="1" applyAlignment="1">
      <alignment horizontal="centerContinuous" vertical="center"/>
    </xf>
    <xf numFmtId="197" fontId="71" fillId="0" borderId="14" xfId="7" applyNumberFormat="1" applyFont="1" applyBorder="1" applyAlignment="1">
      <alignment horizontal="centerContinuous" vertical="center"/>
    </xf>
    <xf numFmtId="0" fontId="63" fillId="0" borderId="13" xfId="7" applyFont="1" applyBorder="1"/>
    <xf numFmtId="0" fontId="63" fillId="0" borderId="14" xfId="7" applyFont="1" applyBorder="1"/>
    <xf numFmtId="197" fontId="63" fillId="0" borderId="16" xfId="7" applyNumberFormat="1" applyFont="1" applyBorder="1" applyAlignment="1">
      <alignment horizontal="centerContinuous" vertical="center"/>
    </xf>
    <xf numFmtId="197" fontId="63" fillId="0" borderId="17" xfId="7" applyNumberFormat="1" applyFont="1" applyBorder="1" applyAlignment="1">
      <alignment horizontal="centerContinuous" vertical="center"/>
    </xf>
    <xf numFmtId="197" fontId="71" fillId="0" borderId="16" xfId="7" applyNumberFormat="1" applyFont="1" applyBorder="1" applyAlignment="1">
      <alignment horizontal="centerContinuous" vertical="center"/>
    </xf>
    <xf numFmtId="197" fontId="71" fillId="0" borderId="17" xfId="7" applyNumberFormat="1" applyFont="1" applyBorder="1" applyAlignment="1">
      <alignment horizontal="centerContinuous" vertical="center"/>
    </xf>
    <xf numFmtId="0" fontId="63" fillId="0" borderId="16" xfId="7" applyFont="1" applyBorder="1"/>
    <xf numFmtId="0" fontId="63" fillId="0" borderId="17" xfId="7" applyFont="1" applyBorder="1"/>
    <xf numFmtId="197" fontId="63" fillId="0" borderId="3" xfId="7" applyNumberFormat="1" applyFont="1" applyBorder="1" applyAlignment="1">
      <alignment horizontal="centerContinuous" vertical="center"/>
    </xf>
    <xf numFmtId="197" fontId="63" fillId="0" borderId="1" xfId="7" applyNumberFormat="1" applyFont="1" applyBorder="1" applyAlignment="1">
      <alignment horizontal="centerContinuous" vertical="center"/>
    </xf>
    <xf numFmtId="197" fontId="71" fillId="0" borderId="3" xfId="7" applyNumberFormat="1" applyFont="1" applyBorder="1" applyAlignment="1">
      <alignment horizontal="centerContinuous" vertical="center"/>
    </xf>
    <xf numFmtId="197" fontId="71" fillId="0" borderId="1" xfId="7" applyNumberFormat="1" applyFont="1" applyBorder="1" applyAlignment="1">
      <alignment horizontal="centerContinuous" vertical="center"/>
    </xf>
    <xf numFmtId="0" fontId="63" fillId="0" borderId="3" xfId="7" applyFont="1" applyBorder="1"/>
    <xf numFmtId="0" fontId="63" fillId="0" borderId="1" xfId="7" applyFont="1" applyBorder="1"/>
    <xf numFmtId="0" fontId="42" fillId="0" borderId="0" xfId="7" applyFont="1" applyAlignment="1">
      <alignment horizontal="center"/>
    </xf>
    <xf numFmtId="0" fontId="71" fillId="0" borderId="0" xfId="3" applyFont="1" applyAlignment="1">
      <alignment horizontal="centerContinuous"/>
    </xf>
    <xf numFmtId="0" fontId="42" fillId="0" borderId="0" xfId="3" applyFont="1"/>
    <xf numFmtId="0" fontId="71" fillId="0" borderId="0" xfId="3" applyFont="1" applyAlignment="1">
      <alignment horizontal="center"/>
    </xf>
    <xf numFmtId="0" fontId="42" fillId="0" borderId="0" xfId="3" applyFont="1" applyAlignment="1">
      <alignment vertical="top"/>
    </xf>
    <xf numFmtId="0" fontId="34" fillId="0" borderId="0" xfId="3" applyFont="1" applyAlignment="1">
      <alignment horizontal="centerContinuous" vertical="center"/>
    </xf>
    <xf numFmtId="0" fontId="34" fillId="0" borderId="0" xfId="3" applyFont="1" applyAlignment="1">
      <alignment vertical="top"/>
    </xf>
    <xf numFmtId="0" fontId="38" fillId="0" borderId="0" xfId="3" applyFont="1" applyAlignment="1">
      <alignment vertical="top"/>
    </xf>
    <xf numFmtId="0" fontId="38" fillId="0" borderId="0" xfId="3" applyFont="1"/>
    <xf numFmtId="0" fontId="38" fillId="0" borderId="0" xfId="3" applyFont="1" applyAlignment="1">
      <alignment horizontal="center"/>
    </xf>
    <xf numFmtId="0" fontId="43" fillId="0" borderId="0" xfId="3" applyFont="1" applyAlignment="1">
      <alignment vertical="top"/>
    </xf>
    <xf numFmtId="0" fontId="43" fillId="0" borderId="0" xfId="3" applyFont="1" applyAlignment="1">
      <alignment horizontal="right" vertical="top"/>
    </xf>
    <xf numFmtId="0" fontId="43" fillId="0" borderId="0" xfId="3" applyFont="1" applyAlignment="1">
      <alignment horizontal="center" vertical="top"/>
    </xf>
    <xf numFmtId="0" fontId="43" fillId="0" borderId="0" xfId="3" applyFont="1"/>
    <xf numFmtId="0" fontId="43" fillId="0" borderId="0" xfId="3" applyFont="1" applyAlignment="1">
      <alignment horizontal="center"/>
    </xf>
    <xf numFmtId="0" fontId="43" fillId="0" borderId="0" xfId="3" applyFont="1" applyAlignment="1">
      <alignment horizontal="right" vertical="center"/>
    </xf>
    <xf numFmtId="0" fontId="43" fillId="0" borderId="0" xfId="3" applyFont="1" applyAlignment="1">
      <alignment vertical="center"/>
    </xf>
    <xf numFmtId="0" fontId="43" fillId="0" borderId="0" xfId="3" applyFont="1" applyAlignment="1">
      <alignment horizontal="center" vertical="center"/>
    </xf>
    <xf numFmtId="0" fontId="71" fillId="0" borderId="0" xfId="3" applyFont="1"/>
    <xf numFmtId="0" fontId="38" fillId="0" borderId="0" xfId="3" applyFont="1" applyAlignment="1">
      <alignment vertical="center"/>
    </xf>
    <xf numFmtId="0" fontId="63" fillId="6" borderId="12" xfId="3" applyFont="1" applyFill="1" applyBorder="1" applyAlignment="1">
      <alignment horizontal="centerContinuous" vertical="center"/>
    </xf>
    <xf numFmtId="0" fontId="63" fillId="6" borderId="13" xfId="3" applyFont="1" applyFill="1" applyBorder="1" applyAlignment="1">
      <alignment horizontal="centerContinuous" vertical="center"/>
    </xf>
    <xf numFmtId="0" fontId="42" fillId="6" borderId="34" xfId="3" applyFont="1" applyFill="1" applyBorder="1" applyAlignment="1">
      <alignment horizontal="centerContinuous" vertical="center"/>
    </xf>
    <xf numFmtId="0" fontId="42" fillId="6" borderId="14" xfId="3" applyFont="1" applyFill="1" applyBorder="1" applyAlignment="1">
      <alignment horizontal="centerContinuous" vertical="center"/>
    </xf>
    <xf numFmtId="0" fontId="63" fillId="6" borderId="13" xfId="3" applyFont="1" applyFill="1" applyBorder="1" applyAlignment="1">
      <alignment horizontal="centerContinuous" vertical="top"/>
    </xf>
    <xf numFmtId="0" fontId="42" fillId="6" borderId="14" xfId="3" applyFont="1" applyFill="1" applyBorder="1" applyAlignment="1">
      <alignment horizontal="centerContinuous" vertical="top"/>
    </xf>
    <xf numFmtId="0" fontId="32" fillId="0" borderId="0" xfId="3" applyFont="1" applyAlignment="1">
      <alignment vertical="top"/>
    </xf>
    <xf numFmtId="0" fontId="42" fillId="6" borderId="2" xfId="3" applyFont="1" applyFill="1" applyBorder="1" applyAlignment="1">
      <alignment horizontal="centerContinuous" vertical="center"/>
    </xf>
    <xf numFmtId="0" fontId="42" fillId="6" borderId="3" xfId="3" applyFont="1" applyFill="1" applyBorder="1" applyAlignment="1">
      <alignment horizontal="centerContinuous" vertical="center"/>
    </xf>
    <xf numFmtId="0" fontId="42" fillId="6" borderId="18" xfId="3" applyFont="1" applyFill="1" applyBorder="1" applyAlignment="1">
      <alignment horizontal="centerContinuous" vertical="center"/>
    </xf>
    <xf numFmtId="0" fontId="42" fillId="6" borderId="1" xfId="3" applyFont="1" applyFill="1" applyBorder="1" applyAlignment="1">
      <alignment horizontal="centerContinuous" vertical="center"/>
    </xf>
    <xf numFmtId="0" fontId="63" fillId="6" borderId="3" xfId="3" applyFont="1" applyFill="1" applyBorder="1" applyAlignment="1">
      <alignment horizontal="centerContinuous" vertical="top"/>
    </xf>
    <xf numFmtId="0" fontId="42" fillId="6" borderId="1" xfId="3" applyFont="1" applyFill="1" applyBorder="1" applyAlignment="1">
      <alignment horizontal="centerContinuous" vertical="top"/>
    </xf>
    <xf numFmtId="0" fontId="71" fillId="0" borderId="12" xfId="3" applyFont="1" applyBorder="1" applyAlignment="1">
      <alignment horizontal="center" vertical="top"/>
    </xf>
    <xf numFmtId="0" fontId="71" fillId="0" borderId="13" xfId="3" applyFont="1" applyBorder="1" applyAlignment="1">
      <alignment vertical="top"/>
    </xf>
    <xf numFmtId="0" fontId="63" fillId="0" borderId="34" xfId="3" applyFont="1" applyBorder="1" applyAlignment="1">
      <alignment vertical="top"/>
    </xf>
    <xf numFmtId="0" fontId="63" fillId="0" borderId="14" xfId="3" applyFont="1" applyBorder="1" applyAlignment="1">
      <alignment vertical="top"/>
    </xf>
    <xf numFmtId="0" fontId="63" fillId="0" borderId="12" xfId="3" applyFont="1" applyBorder="1" applyAlignment="1">
      <alignment horizontal="center" vertical="top"/>
    </xf>
    <xf numFmtId="0" fontId="63" fillId="0" borderId="13" xfId="3" applyFont="1" applyBorder="1" applyAlignment="1">
      <alignment vertical="top"/>
    </xf>
    <xf numFmtId="0" fontId="71" fillId="0" borderId="15" xfId="3" applyFont="1" applyBorder="1" applyAlignment="1">
      <alignment horizontal="center"/>
    </xf>
    <xf numFmtId="0" fontId="71" fillId="0" borderId="16" xfId="3" applyFont="1" applyBorder="1"/>
    <xf numFmtId="0" fontId="71" fillId="0" borderId="17" xfId="3" applyFont="1" applyBorder="1"/>
    <xf numFmtId="0" fontId="63" fillId="0" borderId="15" xfId="3" applyFont="1" applyBorder="1" applyAlignment="1">
      <alignment horizontal="center"/>
    </xf>
    <xf numFmtId="0" fontId="63" fillId="0" borderId="16" xfId="3" applyFont="1" applyBorder="1"/>
    <xf numFmtId="43" fontId="63" fillId="0" borderId="17" xfId="1" applyFont="1" applyBorder="1"/>
    <xf numFmtId="43" fontId="63" fillId="0" borderId="17" xfId="1" applyFont="1" applyBorder="1" applyAlignment="1"/>
    <xf numFmtId="0" fontId="71" fillId="6" borderId="13" xfId="3" applyFont="1" applyFill="1" applyBorder="1" applyAlignment="1">
      <alignment horizontal="centerContinuous" vertical="top"/>
    </xf>
    <xf numFmtId="0" fontId="71" fillId="6" borderId="14" xfId="3" applyFont="1" applyFill="1" applyBorder="1" applyAlignment="1">
      <alignment horizontal="centerContinuous" vertical="top"/>
    </xf>
    <xf numFmtId="0" fontId="71" fillId="6" borderId="12" xfId="3" applyFont="1" applyFill="1" applyBorder="1" applyAlignment="1">
      <alignment horizontal="center" vertical="top"/>
    </xf>
    <xf numFmtId="0" fontId="71" fillId="6" borderId="34" xfId="3" applyFont="1" applyFill="1" applyBorder="1" applyAlignment="1">
      <alignment horizontal="centerContinuous" vertical="top"/>
    </xf>
    <xf numFmtId="0" fontId="63" fillId="0" borderId="15" xfId="3" applyFont="1" applyBorder="1" applyAlignment="1">
      <alignment horizontal="center" vertical="top"/>
    </xf>
    <xf numFmtId="0" fontId="63" fillId="0" borderId="16" xfId="3" applyFont="1" applyBorder="1" applyAlignment="1">
      <alignment vertical="top"/>
    </xf>
    <xf numFmtId="0" fontId="63" fillId="0" borderId="0" xfId="3" applyFont="1" applyAlignment="1">
      <alignment vertical="top"/>
    </xf>
    <xf numFmtId="0" fontId="63" fillId="0" borderId="17" xfId="3" applyFont="1" applyBorder="1" applyAlignment="1">
      <alignment vertical="top"/>
    </xf>
    <xf numFmtId="0" fontId="63" fillId="0" borderId="17" xfId="1" applyNumberFormat="1" applyFont="1" applyBorder="1" applyAlignment="1">
      <alignment vertical="top"/>
    </xf>
    <xf numFmtId="199" fontId="63" fillId="0" borderId="17" xfId="1" applyNumberFormat="1" applyFont="1" applyBorder="1" applyAlignment="1">
      <alignment vertical="top"/>
    </xf>
    <xf numFmtId="0" fontId="63" fillId="0" borderId="0" xfId="3" applyFont="1"/>
    <xf numFmtId="0" fontId="63" fillId="0" borderId="17" xfId="3" applyFont="1" applyBorder="1"/>
    <xf numFmtId="43" fontId="63" fillId="0" borderId="17" xfId="1" applyFont="1" applyBorder="1" applyAlignment="1">
      <alignment horizontal="center"/>
    </xf>
    <xf numFmtId="0" fontId="43" fillId="9" borderId="0" xfId="3" applyFont="1" applyFill="1"/>
    <xf numFmtId="0" fontId="42" fillId="9" borderId="0" xfId="3" applyFont="1" applyFill="1"/>
    <xf numFmtId="0" fontId="71" fillId="6" borderId="3" xfId="3" applyFont="1" applyFill="1" applyBorder="1" applyAlignment="1">
      <alignment horizontal="centerContinuous" vertical="top"/>
    </xf>
    <xf numFmtId="0" fontId="71" fillId="6" borderId="1" xfId="3" applyFont="1" applyFill="1" applyBorder="1" applyAlignment="1">
      <alignment horizontal="centerContinuous" vertical="top"/>
    </xf>
    <xf numFmtId="0" fontId="71" fillId="6" borderId="2" xfId="3" applyFont="1" applyFill="1" applyBorder="1" applyAlignment="1">
      <alignment horizontal="center" vertical="top"/>
    </xf>
    <xf numFmtId="0" fontId="71" fillId="6" borderId="18" xfId="3" applyFont="1" applyFill="1" applyBorder="1" applyAlignment="1">
      <alignment horizontal="centerContinuous" vertical="top"/>
    </xf>
    <xf numFmtId="0" fontId="63" fillId="0" borderId="13" xfId="3" applyFont="1" applyBorder="1" applyAlignment="1">
      <alignment horizontal="center"/>
    </xf>
    <xf numFmtId="0" fontId="63" fillId="0" borderId="13" xfId="3" applyFont="1" applyBorder="1"/>
    <xf numFmtId="193" fontId="71" fillId="0" borderId="14" xfId="3" applyNumberFormat="1" applyFont="1" applyBorder="1" applyAlignment="1">
      <alignment horizontal="center"/>
    </xf>
    <xf numFmtId="43" fontId="71" fillId="0" borderId="14" xfId="1" applyFont="1" applyBorder="1" applyAlignment="1">
      <alignment horizontal="center"/>
    </xf>
    <xf numFmtId="0" fontId="63" fillId="0" borderId="34" xfId="3" applyFont="1" applyBorder="1"/>
    <xf numFmtId="197" fontId="71" fillId="0" borderId="17" xfId="3" applyNumberFormat="1" applyFont="1" applyBorder="1" applyAlignment="1">
      <alignment horizontal="center"/>
    </xf>
    <xf numFmtId="3" fontId="63" fillId="0" borderId="15" xfId="3" applyNumberFormat="1" applyFont="1" applyBorder="1" applyAlignment="1">
      <alignment horizontal="center" vertical="top"/>
    </xf>
    <xf numFmtId="2" fontId="71" fillId="0" borderId="17" xfId="3" applyNumberFormat="1" applyFont="1" applyBorder="1" applyAlignment="1">
      <alignment horizontal="center"/>
    </xf>
    <xf numFmtId="0" fontId="71" fillId="0" borderId="15" xfId="3" applyFont="1" applyBorder="1" applyAlignment="1">
      <alignment horizontal="center" vertical="top"/>
    </xf>
    <xf numFmtId="0" fontId="71" fillId="0" borderId="16" xfId="3" applyFont="1" applyBorder="1" applyAlignment="1">
      <alignment vertical="top"/>
    </xf>
    <xf numFmtId="199" fontId="63" fillId="0" borderId="17" xfId="1" applyNumberFormat="1" applyFont="1" applyBorder="1"/>
    <xf numFmtId="0" fontId="71" fillId="5" borderId="6" xfId="3" applyFont="1" applyFill="1" applyBorder="1" applyAlignment="1">
      <alignment horizontal="centerContinuous" vertical="top"/>
    </xf>
    <xf numFmtId="0" fontId="71" fillId="5" borderId="11" xfId="3" applyFont="1" applyFill="1" applyBorder="1" applyAlignment="1">
      <alignment horizontal="centerContinuous" vertical="top"/>
    </xf>
    <xf numFmtId="0" fontId="71" fillId="5" borderId="7" xfId="3" applyFont="1" applyFill="1" applyBorder="1" applyAlignment="1">
      <alignment horizontal="centerContinuous" vertical="top"/>
    </xf>
    <xf numFmtId="0" fontId="71" fillId="5" borderId="6" xfId="3" applyFont="1" applyFill="1" applyBorder="1" applyAlignment="1">
      <alignment vertical="top"/>
    </xf>
    <xf numFmtId="199" fontId="71" fillId="5" borderId="7" xfId="1" applyNumberFormat="1" applyFont="1" applyFill="1" applyBorder="1" applyAlignment="1">
      <alignment vertical="top"/>
    </xf>
    <xf numFmtId="0" fontId="71" fillId="5" borderId="6" xfId="3" applyFont="1" applyFill="1" applyBorder="1" applyAlignment="1">
      <alignment horizontal="centerContinuous"/>
    </xf>
    <xf numFmtId="0" fontId="71" fillId="5" borderId="11" xfId="3" applyFont="1" applyFill="1" applyBorder="1" applyAlignment="1">
      <alignment horizontal="centerContinuous"/>
    </xf>
    <xf numFmtId="0" fontId="71" fillId="5" borderId="7" xfId="3" applyFont="1" applyFill="1" applyBorder="1" applyAlignment="1">
      <alignment horizontal="centerContinuous"/>
    </xf>
    <xf numFmtId="0" fontId="63" fillId="5" borderId="6" xfId="3" applyFont="1" applyFill="1" applyBorder="1"/>
    <xf numFmtId="199" fontId="71" fillId="5" borderId="7" xfId="1" applyNumberFormat="1" applyFont="1" applyFill="1" applyBorder="1"/>
    <xf numFmtId="0" fontId="63" fillId="5" borderId="13" xfId="3" applyFont="1" applyFill="1" applyBorder="1" applyAlignment="1">
      <alignment horizontal="centerContinuous" vertical="top"/>
    </xf>
    <xf numFmtId="0" fontId="42" fillId="5" borderId="14" xfId="3" applyFont="1" applyFill="1" applyBorder="1" applyAlignment="1">
      <alignment horizontal="centerContinuous" vertical="top"/>
    </xf>
    <xf numFmtId="0" fontId="63" fillId="5" borderId="3" xfId="3" applyFont="1" applyFill="1" applyBorder="1" applyAlignment="1">
      <alignment horizontal="centerContinuous" vertical="top"/>
    </xf>
    <xf numFmtId="0" fontId="42" fillId="5" borderId="1" xfId="3" applyFont="1" applyFill="1" applyBorder="1" applyAlignment="1">
      <alignment horizontal="centerContinuous" vertical="top"/>
    </xf>
    <xf numFmtId="0" fontId="63" fillId="0" borderId="3" xfId="3" applyFont="1" applyBorder="1" applyAlignment="1">
      <alignment horizontal="center"/>
    </xf>
    <xf numFmtId="0" fontId="71" fillId="0" borderId="1" xfId="3" applyFont="1" applyBorder="1" applyAlignment="1">
      <alignment horizontal="center"/>
    </xf>
    <xf numFmtId="0" fontId="63" fillId="0" borderId="3" xfId="3" applyFont="1" applyBorder="1"/>
    <xf numFmtId="2" fontId="71" fillId="0" borderId="1" xfId="3" applyNumberFormat="1" applyFont="1" applyBorder="1" applyAlignment="1">
      <alignment horizontal="center"/>
    </xf>
    <xf numFmtId="0" fontId="71" fillId="0" borderId="18" xfId="3" applyFont="1" applyBorder="1" applyAlignment="1">
      <alignment horizontal="center"/>
    </xf>
    <xf numFmtId="43" fontId="63" fillId="0" borderId="1" xfId="1" applyFont="1" applyBorder="1" applyAlignment="1"/>
    <xf numFmtId="0" fontId="63" fillId="0" borderId="18" xfId="3" applyFont="1" applyBorder="1"/>
    <xf numFmtId="0" fontId="42" fillId="0" borderId="18" xfId="3" applyFont="1" applyBorder="1" applyAlignment="1">
      <alignment vertical="top"/>
    </xf>
    <xf numFmtId="197" fontId="71" fillId="0" borderId="1" xfId="3" applyNumberFormat="1" applyFont="1" applyBorder="1" applyAlignment="1">
      <alignment horizontal="center"/>
    </xf>
    <xf numFmtId="0" fontId="63" fillId="0" borderId="3" xfId="3" applyFont="1" applyBorder="1" applyAlignment="1">
      <alignment horizontal="centerContinuous"/>
    </xf>
    <xf numFmtId="0" fontId="63" fillId="0" borderId="18" xfId="3" applyFont="1" applyBorder="1" applyAlignment="1">
      <alignment horizontal="centerContinuous"/>
    </xf>
    <xf numFmtId="0" fontId="63" fillId="0" borderId="1" xfId="3" applyFont="1" applyBorder="1" applyAlignment="1">
      <alignment horizontal="centerContinuous"/>
    </xf>
    <xf numFmtId="199" fontId="63" fillId="0" borderId="17" xfId="3" applyNumberFormat="1" applyFont="1" applyBorder="1"/>
    <xf numFmtId="0" fontId="71" fillId="0" borderId="0" xfId="3" applyFont="1" applyAlignment="1">
      <alignment horizontal="centerContinuous" vertical="top"/>
    </xf>
    <xf numFmtId="0" fontId="38" fillId="0" borderId="0" xfId="3" applyFont="1" applyAlignment="1">
      <alignment horizontal="centerContinuous"/>
    </xf>
    <xf numFmtId="0" fontId="42" fillId="0" borderId="0" xfId="3" applyFont="1" applyAlignment="1">
      <alignment horizontal="center" vertical="top"/>
    </xf>
    <xf numFmtId="0" fontId="71" fillId="6" borderId="13" xfId="3" applyFont="1" applyFill="1" applyBorder="1" applyAlignment="1">
      <alignment horizontal="centerContinuous"/>
    </xf>
    <xf numFmtId="0" fontId="71" fillId="6" borderId="14" xfId="3" applyFont="1" applyFill="1" applyBorder="1" applyAlignment="1">
      <alignment horizontal="centerContinuous"/>
    </xf>
    <xf numFmtId="0" fontId="71" fillId="6" borderId="12" xfId="3" applyFont="1" applyFill="1" applyBorder="1" applyAlignment="1">
      <alignment horizontal="center"/>
    </xf>
    <xf numFmtId="0" fontId="42" fillId="5" borderId="0" xfId="3" applyFont="1" applyFill="1" applyAlignment="1">
      <alignment vertical="top"/>
    </xf>
    <xf numFmtId="197" fontId="42" fillId="5" borderId="0" xfId="3" applyNumberFormat="1" applyFont="1" applyFill="1" applyAlignment="1">
      <alignment vertical="top"/>
    </xf>
    <xf numFmtId="0" fontId="71" fillId="6" borderId="3" xfId="3" applyFont="1" applyFill="1" applyBorder="1" applyAlignment="1">
      <alignment horizontal="centerContinuous"/>
    </xf>
    <xf numFmtId="0" fontId="71" fillId="6" borderId="1" xfId="3" applyFont="1" applyFill="1" applyBorder="1" applyAlignment="1">
      <alignment horizontal="centerContinuous"/>
    </xf>
    <xf numFmtId="0" fontId="71" fillId="6" borderId="15" xfId="3" applyFont="1" applyFill="1" applyBorder="1" applyAlignment="1">
      <alignment horizontal="center"/>
    </xf>
    <xf numFmtId="0" fontId="71" fillId="6" borderId="2" xfId="3" applyFont="1" applyFill="1" applyBorder="1" applyAlignment="1">
      <alignment horizontal="center"/>
    </xf>
    <xf numFmtId="0" fontId="32" fillId="0" borderId="0" xfId="3" applyFont="1"/>
    <xf numFmtId="0" fontId="63" fillId="0" borderId="34" xfId="3" applyFont="1" applyBorder="1" applyAlignment="1">
      <alignment horizontal="center"/>
    </xf>
    <xf numFmtId="197" fontId="63" fillId="0" borderId="13" xfId="3" applyNumberFormat="1" applyFont="1" applyBorder="1" applyAlignment="1">
      <alignment horizontal="center"/>
    </xf>
    <xf numFmtId="197" fontId="63" fillId="0" borderId="12" xfId="3" applyNumberFormat="1" applyFont="1" applyBorder="1" applyAlignment="1">
      <alignment horizontal="center"/>
    </xf>
    <xf numFmtId="197" fontId="63" fillId="0" borderId="0" xfId="3" applyNumberFormat="1" applyFont="1" applyAlignment="1">
      <alignment horizontal="center"/>
    </xf>
    <xf numFmtId="0" fontId="63" fillId="0" borderId="0" xfId="3" applyFont="1" applyAlignment="1">
      <alignment horizontal="center"/>
    </xf>
    <xf numFmtId="197" fontId="63" fillId="0" borderId="16" xfId="3" applyNumberFormat="1" applyFont="1" applyBorder="1" applyAlignment="1">
      <alignment horizontal="center"/>
    </xf>
    <xf numFmtId="197" fontId="63" fillId="0" borderId="15" xfId="3" applyNumberFormat="1" applyFont="1" applyBorder="1" applyAlignment="1">
      <alignment horizontal="center"/>
    </xf>
    <xf numFmtId="197" fontId="43" fillId="5" borderId="0" xfId="3" applyNumberFormat="1" applyFont="1" applyFill="1" applyAlignment="1">
      <alignment vertical="top"/>
    </xf>
    <xf numFmtId="0" fontId="42" fillId="0" borderId="0" xfId="3" applyFont="1" applyAlignment="1">
      <alignment horizontal="center"/>
    </xf>
    <xf numFmtId="0" fontId="42" fillId="0" borderId="0" xfId="3" applyFont="1" applyAlignment="1">
      <alignment vertical="center"/>
    </xf>
    <xf numFmtId="2" fontId="42" fillId="0" borderId="0" xfId="3" applyNumberFormat="1" applyFont="1" applyAlignment="1">
      <alignment vertical="center"/>
    </xf>
    <xf numFmtId="197" fontId="42" fillId="0" borderId="0" xfId="3" applyNumberFormat="1" applyFont="1" applyAlignment="1">
      <alignment vertical="center"/>
    </xf>
    <xf numFmtId="0" fontId="42" fillId="5" borderId="0" xfId="3" applyFont="1" applyFill="1" applyAlignment="1">
      <alignment vertical="center"/>
    </xf>
    <xf numFmtId="197" fontId="42" fillId="5" borderId="0" xfId="3" applyNumberFormat="1" applyFont="1" applyFill="1" applyAlignment="1">
      <alignment vertical="center"/>
    </xf>
    <xf numFmtId="199" fontId="63" fillId="0" borderId="17" xfId="1" applyNumberFormat="1" applyFont="1" applyBorder="1" applyAlignment="1">
      <alignment horizontal="center"/>
    </xf>
    <xf numFmtId="0" fontId="63" fillId="0" borderId="18" xfId="3" applyFont="1" applyBorder="1" applyAlignment="1">
      <alignment horizontal="center"/>
    </xf>
    <xf numFmtId="197" fontId="63" fillId="0" borderId="2" xfId="3" applyNumberFormat="1" applyFont="1" applyBorder="1" applyAlignment="1">
      <alignment horizontal="center"/>
    </xf>
    <xf numFmtId="0" fontId="38" fillId="0" borderId="18" xfId="3" applyFont="1" applyBorder="1" applyAlignment="1">
      <alignment horizontal="centerContinuous"/>
    </xf>
    <xf numFmtId="0" fontId="63" fillId="6" borderId="13" xfId="3" applyFont="1" applyFill="1" applyBorder="1" applyAlignment="1">
      <alignment horizontal="centerContinuous"/>
    </xf>
    <xf numFmtId="0" fontId="63" fillId="6" borderId="14" xfId="3" applyFont="1" applyFill="1" applyBorder="1" applyAlignment="1">
      <alignment horizontal="centerContinuous"/>
    </xf>
    <xf numFmtId="0" fontId="63" fillId="6" borderId="12" xfId="3" applyFont="1" applyFill="1" applyBorder="1" applyAlignment="1">
      <alignment horizontal="center"/>
    </xf>
    <xf numFmtId="0" fontId="43" fillId="6" borderId="12" xfId="3" applyFont="1" applyFill="1" applyBorder="1" applyAlignment="1">
      <alignment horizontal="center"/>
    </xf>
    <xf numFmtId="0" fontId="63" fillId="6" borderId="3" xfId="3" applyFont="1" applyFill="1" applyBorder="1" applyAlignment="1">
      <alignment horizontal="centerContinuous"/>
    </xf>
    <xf numFmtId="0" fontId="63" fillId="6" borderId="1" xfId="3" applyFont="1" applyFill="1" applyBorder="1" applyAlignment="1">
      <alignment horizontal="centerContinuous"/>
    </xf>
    <xf numFmtId="0" fontId="63" fillId="6" borderId="15" xfId="3" applyFont="1" applyFill="1" applyBorder="1" applyAlignment="1">
      <alignment horizontal="center"/>
    </xf>
    <xf numFmtId="0" fontId="47" fillId="6" borderId="3" xfId="3" applyFont="1" applyFill="1" applyBorder="1" applyAlignment="1">
      <alignment horizontal="centerContinuous"/>
    </xf>
    <xf numFmtId="0" fontId="47" fillId="6" borderId="1" xfId="3" applyFont="1" applyFill="1" applyBorder="1" applyAlignment="1">
      <alignment horizontal="centerContinuous"/>
    </xf>
    <xf numFmtId="0" fontId="43" fillId="6" borderId="2" xfId="3" applyFont="1" applyFill="1" applyBorder="1" applyAlignment="1">
      <alignment horizontal="center"/>
    </xf>
    <xf numFmtId="0" fontId="42" fillId="0" borderId="13" xfId="3" applyFont="1" applyBorder="1" applyAlignment="1">
      <alignment horizontal="center"/>
    </xf>
    <xf numFmtId="0" fontId="42" fillId="0" borderId="14" xfId="3" applyFont="1" applyBorder="1" applyAlignment="1">
      <alignment horizontal="center"/>
    </xf>
    <xf numFmtId="0" fontId="32" fillId="0" borderId="13" xfId="3" applyFont="1" applyBorder="1"/>
    <xf numFmtId="197" fontId="42" fillId="0" borderId="14" xfId="3" applyNumberFormat="1" applyFont="1" applyBorder="1" applyAlignment="1">
      <alignment horizontal="center"/>
    </xf>
    <xf numFmtId="0" fontId="42" fillId="0" borderId="13" xfId="1" applyNumberFormat="1" applyFont="1" applyBorder="1" applyAlignment="1"/>
    <xf numFmtId="197" fontId="42" fillId="0" borderId="12" xfId="3" applyNumberFormat="1" applyFont="1" applyBorder="1" applyAlignment="1">
      <alignment horizontal="center"/>
    </xf>
    <xf numFmtId="0" fontId="42" fillId="0" borderId="16" xfId="3" applyFont="1" applyBorder="1" applyAlignment="1">
      <alignment horizontal="center"/>
    </xf>
    <xf numFmtId="0" fontId="42" fillId="0" borderId="17" xfId="3" applyFont="1" applyBorder="1" applyAlignment="1">
      <alignment horizontal="center"/>
    </xf>
    <xf numFmtId="0" fontId="32" fillId="0" borderId="16" xfId="3" applyFont="1" applyBorder="1"/>
    <xf numFmtId="197" fontId="42" fillId="0" borderId="17" xfId="3" applyNumberFormat="1" applyFont="1" applyBorder="1" applyAlignment="1">
      <alignment horizontal="center"/>
    </xf>
    <xf numFmtId="2" fontId="63" fillId="0" borderId="16" xfId="3" applyNumberFormat="1" applyFont="1" applyBorder="1" applyAlignment="1">
      <alignment horizontal="left"/>
    </xf>
    <xf numFmtId="0" fontId="42" fillId="0" borderId="16" xfId="1" applyNumberFormat="1" applyFont="1" applyBorder="1" applyAlignment="1"/>
    <xf numFmtId="197" fontId="42" fillId="0" borderId="15" xfId="3" applyNumberFormat="1" applyFont="1" applyBorder="1" applyAlignment="1">
      <alignment horizontal="center"/>
    </xf>
    <xf numFmtId="0" fontId="63" fillId="0" borderId="34" xfId="3" applyFont="1" applyBorder="1" applyAlignment="1">
      <alignment horizontal="center" vertical="top"/>
    </xf>
    <xf numFmtId="43" fontId="63" fillId="0" borderId="34" xfId="1" applyFont="1" applyBorder="1" applyAlignment="1">
      <alignment vertical="top"/>
    </xf>
    <xf numFmtId="0" fontId="42" fillId="0" borderId="3" xfId="3" applyFont="1" applyBorder="1" applyAlignment="1">
      <alignment horizontal="center"/>
    </xf>
    <xf numFmtId="0" fontId="42" fillId="0" borderId="1" xfId="3" applyFont="1" applyBorder="1" applyAlignment="1">
      <alignment horizontal="center"/>
    </xf>
    <xf numFmtId="0" fontId="32" fillId="0" borderId="3" xfId="3" applyFont="1" applyBorder="1"/>
    <xf numFmtId="197" fontId="42" fillId="0" borderId="1" xfId="3" applyNumberFormat="1" applyFont="1" applyBorder="1" applyAlignment="1">
      <alignment horizontal="center"/>
    </xf>
    <xf numFmtId="0" fontId="42" fillId="0" borderId="2" xfId="1" applyNumberFormat="1" applyFont="1" applyBorder="1" applyAlignment="1"/>
    <xf numFmtId="197" fontId="42" fillId="0" borderId="2" xfId="3" applyNumberFormat="1" applyFont="1" applyBorder="1" applyAlignment="1">
      <alignment horizontal="center"/>
    </xf>
    <xf numFmtId="199" fontId="63" fillId="0" borderId="17" xfId="1" applyNumberFormat="1" applyFont="1" applyFill="1" applyBorder="1" applyAlignment="1">
      <alignment vertical="top"/>
    </xf>
    <xf numFmtId="0" fontId="63" fillId="0" borderId="1" xfId="3" applyFont="1" applyBorder="1" applyAlignment="1">
      <alignment horizontal="center"/>
    </xf>
    <xf numFmtId="0" fontId="63" fillId="0" borderId="0" xfId="3" applyFont="1" applyAlignment="1">
      <alignment horizontal="center" vertical="top"/>
    </xf>
    <xf numFmtId="43" fontId="63" fillId="0" borderId="0" xfId="1" applyFont="1" applyBorder="1" applyAlignment="1">
      <alignment vertical="top"/>
    </xf>
    <xf numFmtId="199" fontId="63" fillId="0" borderId="17" xfId="1" applyNumberFormat="1" applyFont="1" applyBorder="1" applyAlignment="1"/>
    <xf numFmtId="43" fontId="42" fillId="0" borderId="0" xfId="3" applyNumberFormat="1" applyFont="1"/>
    <xf numFmtId="43" fontId="71" fillId="5" borderId="7" xfId="1" applyFont="1" applyFill="1" applyBorder="1"/>
    <xf numFmtId="0" fontId="71" fillId="0" borderId="0" xfId="3" applyFont="1" applyAlignment="1">
      <alignment vertical="top"/>
    </xf>
    <xf numFmtId="0" fontId="42" fillId="0" borderId="34" xfId="3" applyFont="1" applyBorder="1"/>
    <xf numFmtId="43" fontId="43" fillId="0" borderId="0" xfId="1" applyFont="1" applyFill="1" applyBorder="1"/>
    <xf numFmtId="0" fontId="42" fillId="0" borderId="0" xfId="3" applyFont="1" applyAlignment="1">
      <alignment horizontal="centerContinuous"/>
    </xf>
    <xf numFmtId="199" fontId="63" fillId="0" borderId="0" xfId="3" applyNumberFormat="1" applyFont="1" applyAlignment="1">
      <alignment vertical="top"/>
    </xf>
    <xf numFmtId="0" fontId="42" fillId="6" borderId="0" xfId="3" applyFont="1" applyFill="1" applyAlignment="1">
      <alignment vertical="top"/>
    </xf>
    <xf numFmtId="0" fontId="43" fillId="6" borderId="0" xfId="3" applyFont="1" applyFill="1" applyAlignment="1">
      <alignment vertical="top"/>
    </xf>
    <xf numFmtId="0" fontId="43" fillId="6" borderId="0" xfId="3" applyFont="1" applyFill="1" applyAlignment="1">
      <alignment horizontal="right" vertical="top"/>
    </xf>
    <xf numFmtId="0" fontId="43" fillId="6" borderId="0" xfId="3" applyFont="1" applyFill="1" applyAlignment="1">
      <alignment horizontal="center" vertical="top"/>
    </xf>
    <xf numFmtId="0" fontId="71" fillId="9" borderId="6" xfId="3" applyFont="1" applyFill="1" applyBorder="1" applyAlignment="1">
      <alignment horizontal="centerContinuous"/>
    </xf>
    <xf numFmtId="0" fontId="71" fillId="9" borderId="11" xfId="3" applyFont="1" applyFill="1" applyBorder="1" applyAlignment="1">
      <alignment horizontal="centerContinuous"/>
    </xf>
    <xf numFmtId="0" fontId="71" fillId="9" borderId="7" xfId="3" applyFont="1" applyFill="1" applyBorder="1" applyAlignment="1">
      <alignment horizontal="centerContinuous"/>
    </xf>
    <xf numFmtId="0" fontId="63" fillId="9" borderId="6" xfId="3" applyFont="1" applyFill="1" applyBorder="1"/>
    <xf numFmtId="199" fontId="71" fillId="9" borderId="7" xfId="1" applyNumberFormat="1" applyFont="1" applyFill="1" applyBorder="1"/>
    <xf numFmtId="0" fontId="42" fillId="5" borderId="0" xfId="3" applyFont="1" applyFill="1"/>
    <xf numFmtId="43" fontId="42" fillId="0" borderId="0" xfId="1" applyFont="1" applyFill="1" applyBorder="1"/>
    <xf numFmtId="3" fontId="42" fillId="0" borderId="0" xfId="3" applyNumberFormat="1" applyFont="1" applyAlignment="1">
      <alignment horizontal="center"/>
    </xf>
    <xf numFmtId="0" fontId="38" fillId="0" borderId="18" xfId="3" applyFont="1" applyBorder="1" applyAlignment="1">
      <alignment horizontal="centerContinuous" vertical="top"/>
    </xf>
    <xf numFmtId="0" fontId="71" fillId="6" borderId="13" xfId="3" applyFont="1" applyFill="1" applyBorder="1" applyAlignment="1">
      <alignment horizontal="center" vertical="top"/>
    </xf>
    <xf numFmtId="0" fontId="71" fillId="6" borderId="16" xfId="3" applyFont="1" applyFill="1" applyBorder="1" applyAlignment="1">
      <alignment horizontal="centerContinuous" vertical="top"/>
    </xf>
    <xf numFmtId="0" fontId="71" fillId="6" borderId="0" xfId="3" applyFont="1" applyFill="1" applyAlignment="1">
      <alignment horizontal="centerContinuous" vertical="top"/>
    </xf>
    <xf numFmtId="0" fontId="71" fillId="6" borderId="17" xfId="3" applyFont="1" applyFill="1" applyBorder="1" applyAlignment="1">
      <alignment horizontal="centerContinuous" vertical="top"/>
    </xf>
    <xf numFmtId="0" fontId="42" fillId="6" borderId="15" xfId="3" applyFont="1" applyFill="1" applyBorder="1" applyAlignment="1">
      <alignment horizontal="center" vertical="top"/>
    </xf>
    <xf numFmtId="0" fontId="71" fillId="6" borderId="16" xfId="3" applyFont="1" applyFill="1" applyBorder="1" applyAlignment="1">
      <alignment horizontal="center" vertical="top"/>
    </xf>
    <xf numFmtId="0" fontId="71" fillId="6" borderId="17" xfId="3" applyFont="1" applyFill="1" applyBorder="1" applyAlignment="1">
      <alignment horizontal="center" vertical="top"/>
    </xf>
    <xf numFmtId="0" fontId="71" fillId="6" borderId="15" xfId="3" applyFont="1" applyFill="1" applyBorder="1" applyAlignment="1">
      <alignment horizontal="center" vertical="top"/>
    </xf>
    <xf numFmtId="0" fontId="42" fillId="6" borderId="3" xfId="3" applyFont="1" applyFill="1" applyBorder="1" applyAlignment="1">
      <alignment horizontal="centerContinuous" vertical="top"/>
    </xf>
    <xf numFmtId="0" fontId="42" fillId="6" borderId="18" xfId="3" applyFont="1" applyFill="1" applyBorder="1" applyAlignment="1">
      <alignment horizontal="centerContinuous" vertical="top"/>
    </xf>
    <xf numFmtId="0" fontId="71" fillId="6" borderId="3" xfId="3" applyFont="1" applyFill="1" applyBorder="1" applyAlignment="1">
      <alignment horizontal="center" vertical="top"/>
    </xf>
    <xf numFmtId="197" fontId="63" fillId="0" borderId="13" xfId="3" applyNumberFormat="1" applyFont="1" applyBorder="1" applyAlignment="1">
      <alignment horizontal="center" vertical="top"/>
    </xf>
    <xf numFmtId="0" fontId="42" fillId="0" borderId="13" xfId="3" applyFont="1" applyBorder="1" applyAlignment="1">
      <alignment vertical="top"/>
    </xf>
    <xf numFmtId="199" fontId="63" fillId="0" borderId="17" xfId="3" applyNumberFormat="1" applyFont="1" applyBorder="1" applyAlignment="1">
      <alignment vertical="top"/>
    </xf>
    <xf numFmtId="199" fontId="63" fillId="0" borderId="14" xfId="1" applyNumberFormat="1" applyFont="1" applyBorder="1" applyAlignment="1">
      <alignment vertical="top"/>
    </xf>
    <xf numFmtId="0" fontId="63" fillId="0" borderId="0" xfId="1" applyNumberFormat="1" applyFont="1" applyFill="1" applyAlignment="1">
      <alignment vertical="top"/>
    </xf>
    <xf numFmtId="0" fontId="42" fillId="0" borderId="14" xfId="3" applyFont="1" applyBorder="1" applyAlignment="1">
      <alignment vertical="top"/>
    </xf>
    <xf numFmtId="0" fontId="63" fillId="0" borderId="14" xfId="3" applyFont="1" applyBorder="1" applyAlignment="1">
      <alignment horizontal="center" vertical="top"/>
    </xf>
    <xf numFmtId="199" fontId="63" fillId="0" borderId="12" xfId="3" applyNumberFormat="1" applyFont="1" applyBorder="1" applyAlignment="1">
      <alignment vertical="top"/>
    </xf>
    <xf numFmtId="0" fontId="63" fillId="0" borderId="14" xfId="1" applyNumberFormat="1" applyFont="1" applyFill="1" applyBorder="1" applyAlignment="1">
      <alignment vertical="top"/>
    </xf>
    <xf numFmtId="0" fontId="42" fillId="0" borderId="12" xfId="3" applyFont="1" applyBorder="1" applyAlignment="1">
      <alignment vertical="top"/>
    </xf>
    <xf numFmtId="0" fontId="63" fillId="0" borderId="12" xfId="1" applyNumberFormat="1" applyFont="1" applyFill="1" applyBorder="1" applyAlignment="1">
      <alignment vertical="top"/>
    </xf>
    <xf numFmtId="0" fontId="63" fillId="0" borderId="16" xfId="3" applyFont="1" applyBorder="1" applyAlignment="1">
      <alignment horizontal="center" vertical="top"/>
    </xf>
    <xf numFmtId="0" fontId="63" fillId="0" borderId="17" xfId="3" applyFont="1" applyBorder="1" applyAlignment="1">
      <alignment horizontal="center" vertical="top"/>
    </xf>
    <xf numFmtId="197" fontId="63" fillId="0" borderId="16" xfId="3" applyNumberFormat="1" applyFont="1" applyBorder="1" applyAlignment="1">
      <alignment vertical="top"/>
    </xf>
    <xf numFmtId="0" fontId="42" fillId="0" borderId="16" xfId="3" applyFont="1" applyBorder="1" applyAlignment="1">
      <alignment vertical="top"/>
    </xf>
    <xf numFmtId="0" fontId="42" fillId="0" borderId="17" xfId="3" applyFont="1" applyBorder="1" applyAlignment="1">
      <alignment vertical="top"/>
    </xf>
    <xf numFmtId="1" fontId="63" fillId="0" borderId="17" xfId="3" applyNumberFormat="1" applyFont="1" applyBorder="1" applyAlignment="1">
      <alignment horizontal="center" vertical="top"/>
    </xf>
    <xf numFmtId="199" fontId="63" fillId="0" borderId="15" xfId="3" applyNumberFormat="1" applyFont="1" applyBorder="1" applyAlignment="1">
      <alignment vertical="top"/>
    </xf>
    <xf numFmtId="0" fontId="63" fillId="0" borderId="17" xfId="1" applyNumberFormat="1" applyFont="1" applyFill="1" applyBorder="1" applyAlignment="1">
      <alignment vertical="top"/>
    </xf>
    <xf numFmtId="0" fontId="42" fillId="0" borderId="15" xfId="3" applyFont="1" applyBorder="1" applyAlignment="1">
      <alignment vertical="top"/>
    </xf>
    <xf numFmtId="0" fontId="63" fillId="0" borderId="15" xfId="1" applyNumberFormat="1" applyFont="1" applyFill="1" applyBorder="1" applyAlignment="1">
      <alignment vertical="top"/>
    </xf>
    <xf numFmtId="43" fontId="42" fillId="0" borderId="0" xfId="1" applyFont="1" applyFill="1" applyBorder="1" applyAlignment="1"/>
    <xf numFmtId="43" fontId="42" fillId="0" borderId="0" xfId="1" applyFont="1" applyFill="1" applyBorder="1" applyAlignment="1">
      <alignment horizontal="center"/>
    </xf>
    <xf numFmtId="197" fontId="63" fillId="0" borderId="3" xfId="3" applyNumberFormat="1" applyFont="1" applyBorder="1" applyAlignment="1">
      <alignment horizontal="center" vertical="top"/>
    </xf>
    <xf numFmtId="0" fontId="63" fillId="0" borderId="18" xfId="3" applyFont="1" applyBorder="1" applyAlignment="1">
      <alignment horizontal="center" vertical="top"/>
    </xf>
    <xf numFmtId="0" fontId="63" fillId="0" borderId="2" xfId="3" applyFont="1" applyBorder="1" applyAlignment="1">
      <alignment horizontal="center" vertical="top"/>
    </xf>
    <xf numFmtId="0" fontId="42" fillId="0" borderId="3" xfId="3" applyFont="1" applyBorder="1" applyAlignment="1">
      <alignment vertical="top"/>
    </xf>
    <xf numFmtId="199" fontId="63" fillId="0" borderId="1" xfId="3" applyNumberFormat="1" applyFont="1" applyBorder="1" applyAlignment="1">
      <alignment vertical="top"/>
    </xf>
    <xf numFmtId="199" fontId="63" fillId="0" borderId="1" xfId="1" applyNumberFormat="1" applyFont="1" applyBorder="1" applyAlignment="1">
      <alignment vertical="top"/>
    </xf>
    <xf numFmtId="0" fontId="63" fillId="0" borderId="18" xfId="1" applyNumberFormat="1" applyFont="1" applyFill="1" applyBorder="1" applyAlignment="1">
      <alignment vertical="top"/>
    </xf>
    <xf numFmtId="0" fontId="42" fillId="0" borderId="1" xfId="3" applyFont="1" applyBorder="1" applyAlignment="1">
      <alignment vertical="top"/>
    </xf>
    <xf numFmtId="1" fontId="63" fillId="0" borderId="1" xfId="3" applyNumberFormat="1" applyFont="1" applyBorder="1" applyAlignment="1">
      <alignment horizontal="center" vertical="top"/>
    </xf>
    <xf numFmtId="199" fontId="63" fillId="0" borderId="2" xfId="3" applyNumberFormat="1" applyFont="1" applyBorder="1" applyAlignment="1">
      <alignment vertical="top"/>
    </xf>
    <xf numFmtId="0" fontId="63" fillId="0" borderId="2" xfId="1" applyNumberFormat="1" applyFont="1" applyFill="1" applyBorder="1" applyAlignment="1">
      <alignment vertical="top"/>
    </xf>
    <xf numFmtId="0" fontId="42" fillId="0" borderId="2" xfId="3" applyFont="1" applyBorder="1" applyAlignment="1">
      <alignment vertical="top"/>
    </xf>
    <xf numFmtId="199" fontId="63" fillId="0" borderId="2" xfId="1" applyNumberFormat="1" applyFont="1" applyBorder="1" applyAlignment="1">
      <alignment vertical="top"/>
    </xf>
    <xf numFmtId="0" fontId="63" fillId="0" borderId="3" xfId="3" applyFont="1" applyBorder="1" applyAlignment="1">
      <alignment horizontal="center" vertical="top"/>
    </xf>
    <xf numFmtId="0" fontId="63" fillId="0" borderId="1" xfId="3" applyFont="1" applyBorder="1" applyAlignment="1">
      <alignment horizontal="center" vertical="top"/>
    </xf>
    <xf numFmtId="0" fontId="71" fillId="0" borderId="0" xfId="4" applyFont="1" applyAlignment="1">
      <alignment horizontal="centerContinuous"/>
    </xf>
    <xf numFmtId="0" fontId="42" fillId="0" borderId="0" xfId="4" applyFont="1"/>
    <xf numFmtId="0" fontId="39" fillId="0" borderId="0" xfId="4" applyFont="1" applyAlignment="1">
      <alignment horizontal="centerContinuous" vertical="top"/>
    </xf>
    <xf numFmtId="9" fontId="42" fillId="0" borderId="0" xfId="4" applyNumberFormat="1" applyFont="1" applyAlignment="1">
      <alignment horizontal="right"/>
    </xf>
    <xf numFmtId="0" fontId="42" fillId="0" borderId="0" xfId="4" applyFont="1" applyAlignment="1">
      <alignment vertical="top"/>
    </xf>
    <xf numFmtId="9" fontId="42" fillId="0" borderId="0" xfId="4" applyNumberFormat="1" applyFont="1" applyAlignment="1">
      <alignment horizontal="left" vertical="top"/>
    </xf>
    <xf numFmtId="9" fontId="42" fillId="0" borderId="0" xfId="4" applyNumberFormat="1" applyFont="1" applyAlignment="1">
      <alignment horizontal="center" vertical="top"/>
    </xf>
    <xf numFmtId="9" fontId="42" fillId="0" borderId="0" xfId="4" applyNumberFormat="1" applyFont="1" applyAlignment="1">
      <alignment vertical="top"/>
    </xf>
    <xf numFmtId="0" fontId="42" fillId="0" borderId="0" xfId="4" applyFont="1" applyAlignment="1">
      <alignment horizontal="left" vertical="top"/>
    </xf>
    <xf numFmtId="0" fontId="71" fillId="6" borderId="13" xfId="4" applyFont="1" applyFill="1" applyBorder="1" applyAlignment="1">
      <alignment horizontal="centerContinuous" vertical="top"/>
    </xf>
    <xf numFmtId="0" fontId="71" fillId="6" borderId="14" xfId="4" applyFont="1" applyFill="1" applyBorder="1" applyAlignment="1">
      <alignment horizontal="centerContinuous" vertical="top"/>
    </xf>
    <xf numFmtId="0" fontId="71" fillId="6" borderId="34" xfId="4" applyFont="1" applyFill="1" applyBorder="1" applyAlignment="1">
      <alignment horizontal="centerContinuous" vertical="top"/>
    </xf>
    <xf numFmtId="0" fontId="71" fillId="6" borderId="12" xfId="4" applyFont="1" applyFill="1" applyBorder="1" applyAlignment="1">
      <alignment vertical="top"/>
    </xf>
    <xf numFmtId="0" fontId="43" fillId="6" borderId="13" xfId="4" applyFont="1" applyFill="1" applyBorder="1" applyAlignment="1">
      <alignment horizontal="centerContinuous" vertical="center"/>
    </xf>
    <xf numFmtId="0" fontId="43" fillId="6" borderId="14" xfId="4" applyFont="1" applyFill="1" applyBorder="1" applyAlignment="1">
      <alignment horizontal="centerContinuous" vertical="center"/>
    </xf>
    <xf numFmtId="0" fontId="71" fillId="6" borderId="16" xfId="4" applyFont="1" applyFill="1" applyBorder="1" applyAlignment="1">
      <alignment horizontal="centerContinuous" vertical="top"/>
    </xf>
    <xf numFmtId="0" fontId="71" fillId="6" borderId="17" xfId="4" applyFont="1" applyFill="1" applyBorder="1" applyAlignment="1">
      <alignment horizontal="centerContinuous" vertical="top"/>
    </xf>
    <xf numFmtId="0" fontId="71" fillId="6" borderId="3" xfId="4" applyFont="1" applyFill="1" applyBorder="1" applyAlignment="1">
      <alignment horizontal="centerContinuous"/>
    </xf>
    <xf numFmtId="0" fontId="71" fillId="6" borderId="18" xfId="4" applyFont="1" applyFill="1" applyBorder="1" applyAlignment="1">
      <alignment horizontal="centerContinuous"/>
    </xf>
    <xf numFmtId="0" fontId="71" fillId="6" borderId="1" xfId="4" applyFont="1" applyFill="1" applyBorder="1" applyAlignment="1">
      <alignment horizontal="centerContinuous"/>
    </xf>
    <xf numFmtId="0" fontId="71" fillId="6" borderId="15" xfId="4" applyFont="1" applyFill="1" applyBorder="1" applyAlignment="1">
      <alignment horizontal="center" vertical="top"/>
    </xf>
    <xf numFmtId="0" fontId="43" fillId="6" borderId="16" xfId="4" applyFont="1" applyFill="1" applyBorder="1" applyAlignment="1">
      <alignment horizontal="centerContinuous" vertical="center"/>
    </xf>
    <xf numFmtId="0" fontId="43" fillId="6" borderId="17" xfId="4" applyFont="1" applyFill="1" applyBorder="1" applyAlignment="1">
      <alignment horizontal="centerContinuous" vertical="center"/>
    </xf>
    <xf numFmtId="0" fontId="71" fillId="6" borderId="12" xfId="4" applyFont="1" applyFill="1" applyBorder="1" applyAlignment="1">
      <alignment horizontal="center" vertical="top"/>
    </xf>
    <xf numFmtId="0" fontId="71" fillId="6" borderId="3" xfId="4" applyFont="1" applyFill="1" applyBorder="1" applyAlignment="1">
      <alignment horizontal="centerContinuous" vertical="top"/>
    </xf>
    <xf numFmtId="0" fontId="71" fillId="6" borderId="1" xfId="4" applyFont="1" applyFill="1" applyBorder="1" applyAlignment="1">
      <alignment horizontal="centerContinuous" vertical="top"/>
    </xf>
    <xf numFmtId="0" fontId="71" fillId="6" borderId="2" xfId="4" applyFont="1" applyFill="1" applyBorder="1" applyAlignment="1">
      <alignment horizontal="center" vertical="top"/>
    </xf>
    <xf numFmtId="0" fontId="71" fillId="6" borderId="2" xfId="4" applyFont="1" applyFill="1" applyBorder="1" applyAlignment="1">
      <alignment vertical="top"/>
    </xf>
    <xf numFmtId="0" fontId="43" fillId="6" borderId="3" xfId="4" applyFont="1" applyFill="1" applyBorder="1" applyAlignment="1">
      <alignment horizontal="centerContinuous" vertical="center"/>
    </xf>
    <xf numFmtId="0" fontId="43" fillId="6" borderId="1" xfId="4" applyFont="1" applyFill="1" applyBorder="1" applyAlignment="1">
      <alignment horizontal="centerContinuous" vertical="center"/>
    </xf>
    <xf numFmtId="3" fontId="42" fillId="0" borderId="0" xfId="4" applyNumberFormat="1" applyFont="1" applyAlignment="1">
      <alignment horizontal="center"/>
    </xf>
    <xf numFmtId="197" fontId="42" fillId="0" borderId="0" xfId="4" applyNumberFormat="1" applyFont="1" applyAlignment="1">
      <alignment horizontal="center"/>
    </xf>
    <xf numFmtId="0" fontId="42" fillId="0" borderId="0" xfId="4" applyFont="1" applyAlignment="1">
      <alignment horizontal="center"/>
    </xf>
    <xf numFmtId="0" fontId="73" fillId="0" borderId="0" xfId="4" applyFont="1"/>
    <xf numFmtId="0" fontId="71" fillId="0" borderId="0" xfId="4" applyFont="1" applyAlignment="1">
      <alignment horizontal="center"/>
    </xf>
    <xf numFmtId="0" fontId="63" fillId="0" borderId="0" xfId="4" applyFont="1"/>
    <xf numFmtId="0" fontId="43" fillId="0" borderId="0" xfId="4" applyFont="1"/>
    <xf numFmtId="0" fontId="74" fillId="0" borderId="0" xfId="4" applyFont="1" applyAlignment="1">
      <alignment horizontal="center" vertical="center"/>
    </xf>
    <xf numFmtId="0" fontId="34" fillId="0" borderId="0" xfId="4" applyFont="1" applyAlignment="1">
      <alignment horizontal="centerContinuous" vertical="top"/>
    </xf>
    <xf numFmtId="0" fontId="43" fillId="0" borderId="0" xfId="4" applyFont="1" applyAlignment="1">
      <alignment vertical="top"/>
    </xf>
    <xf numFmtId="0" fontId="71" fillId="0" borderId="0" xfId="4" applyFont="1" applyAlignment="1">
      <alignment horizontal="centerContinuous" vertical="top"/>
    </xf>
    <xf numFmtId="0" fontId="39" fillId="0" borderId="0" xfId="4" applyFont="1" applyAlignment="1">
      <alignment horizontal="center"/>
    </xf>
    <xf numFmtId="203" fontId="32" fillId="0" borderId="0" xfId="0" applyNumberFormat="1" applyFont="1" applyAlignment="1">
      <alignment horizontal="center"/>
    </xf>
    <xf numFmtId="201" fontId="32" fillId="0" borderId="2" xfId="0" applyNumberFormat="1" applyFont="1" applyBorder="1" applyAlignment="1">
      <alignment horizontal="right"/>
    </xf>
    <xf numFmtId="204" fontId="38" fillId="0" borderId="0" xfId="0" applyNumberFormat="1" applyFont="1" applyAlignment="1">
      <alignment horizontal="right"/>
    </xf>
    <xf numFmtId="204" fontId="32" fillId="0" borderId="0" xfId="0" applyNumberFormat="1" applyFont="1" applyAlignment="1">
      <alignment horizontal="center" vertical="center"/>
    </xf>
    <xf numFmtId="208" fontId="32" fillId="0" borderId="0" xfId="10" applyNumberFormat="1" applyFont="1"/>
    <xf numFmtId="0" fontId="43" fillId="2" borderId="37" xfId="0" applyFont="1" applyFill="1" applyBorder="1" applyAlignment="1">
      <alignment horizontal="left"/>
    </xf>
    <xf numFmtId="202" fontId="50" fillId="0" borderId="0" xfId="9" applyNumberFormat="1" applyFont="1" applyBorder="1" applyAlignment="1">
      <alignment horizontal="center"/>
    </xf>
    <xf numFmtId="201" fontId="65" fillId="0" borderId="4" xfId="10" applyNumberFormat="1" applyFont="1" applyBorder="1"/>
    <xf numFmtId="0" fontId="32" fillId="0" borderId="18" xfId="11" applyFont="1" applyBorder="1" applyAlignment="1">
      <alignment horizontal="right"/>
    </xf>
    <xf numFmtId="0" fontId="77" fillId="2" borderId="0" xfId="0" applyFont="1" applyFill="1"/>
    <xf numFmtId="0" fontId="77" fillId="2" borderId="0" xfId="0" applyFont="1" applyFill="1" applyAlignment="1">
      <alignment horizontal="right"/>
    </xf>
    <xf numFmtId="0" fontId="76" fillId="2" borderId="2" xfId="0" applyFont="1" applyFill="1" applyBorder="1" applyAlignment="1">
      <alignment horizontal="center"/>
    </xf>
    <xf numFmtId="0" fontId="76" fillId="2" borderId="1" xfId="0" applyFont="1" applyFill="1" applyBorder="1" applyAlignment="1">
      <alignment horizontal="left"/>
    </xf>
    <xf numFmtId="0" fontId="77" fillId="2" borderId="15" xfId="0" applyFont="1" applyFill="1" applyBorder="1" applyAlignment="1">
      <alignment horizontal="center"/>
    </xf>
    <xf numFmtId="0" fontId="77" fillId="2" borderId="0" xfId="0" applyFont="1" applyFill="1" applyAlignment="1">
      <alignment horizontal="left"/>
    </xf>
    <xf numFmtId="4" fontId="77" fillId="2" borderId="15" xfId="0" applyNumberFormat="1" applyFont="1" applyFill="1" applyBorder="1" applyAlignment="1">
      <alignment horizontal="right"/>
    </xf>
    <xf numFmtId="0" fontId="77" fillId="2" borderId="17" xfId="0" applyFont="1" applyFill="1" applyBorder="1"/>
    <xf numFmtId="4" fontId="77" fillId="2" borderId="15" xfId="0" applyNumberFormat="1" applyFont="1" applyFill="1" applyBorder="1"/>
    <xf numFmtId="0" fontId="79" fillId="2" borderId="16" xfId="0" applyFont="1" applyFill="1" applyBorder="1"/>
    <xf numFmtId="2" fontId="77" fillId="2" borderId="16" xfId="0" applyNumberFormat="1" applyFont="1" applyFill="1" applyBorder="1" applyAlignment="1">
      <alignment horizontal="right"/>
    </xf>
    <xf numFmtId="0" fontId="77" fillId="2" borderId="17" xfId="0" applyFont="1" applyFill="1" applyBorder="1" applyAlignment="1">
      <alignment horizontal="left"/>
    </xf>
    <xf numFmtId="4" fontId="77" fillId="2" borderId="15" xfId="0" applyNumberFormat="1" applyFont="1" applyFill="1" applyBorder="1" applyAlignment="1">
      <alignment horizontal="right" vertical="center"/>
    </xf>
    <xf numFmtId="21" fontId="77" fillId="2" borderId="0" xfId="0" applyNumberFormat="1" applyFont="1" applyFill="1"/>
    <xf numFmtId="0" fontId="77" fillId="2" borderId="16" xfId="0" applyFont="1" applyFill="1" applyBorder="1"/>
    <xf numFmtId="2" fontId="77" fillId="2" borderId="15" xfId="0" applyNumberFormat="1" applyFont="1" applyFill="1" applyBorder="1" applyAlignment="1">
      <alignment horizontal="center"/>
    </xf>
    <xf numFmtId="0" fontId="76" fillId="2" borderId="1" xfId="0" applyFont="1" applyFill="1" applyBorder="1" applyAlignment="1">
      <alignment horizontal="right"/>
    </xf>
    <xf numFmtId="4" fontId="76" fillId="2" borderId="2" xfId="0" applyNumberFormat="1" applyFont="1" applyFill="1" applyBorder="1"/>
    <xf numFmtId="0" fontId="77" fillId="2" borderId="16" xfId="0" applyFont="1" applyFill="1" applyBorder="1" applyAlignment="1">
      <alignment horizontal="right"/>
    </xf>
    <xf numFmtId="4" fontId="76" fillId="2" borderId="17" xfId="0" applyNumberFormat="1" applyFont="1" applyFill="1" applyBorder="1"/>
    <xf numFmtId="4" fontId="77" fillId="2" borderId="17" xfId="0" applyNumberFormat="1" applyFont="1" applyFill="1" applyBorder="1"/>
    <xf numFmtId="0" fontId="77" fillId="2" borderId="0" xfId="0" applyFont="1" applyFill="1" applyAlignment="1">
      <alignment horizontal="center"/>
    </xf>
    <xf numFmtId="4" fontId="77" fillId="2" borderId="16" xfId="0" applyNumberFormat="1" applyFont="1" applyFill="1" applyBorder="1" applyAlignment="1">
      <alignment horizontal="right"/>
    </xf>
    <xf numFmtId="0" fontId="80" fillId="2" borderId="0" xfId="0" applyFont="1" applyFill="1"/>
    <xf numFmtId="0" fontId="76" fillId="2" borderId="9" xfId="0" applyFont="1" applyFill="1" applyBorder="1"/>
    <xf numFmtId="0" fontId="76" fillId="2" borderId="10" xfId="0" applyFont="1" applyFill="1" applyBorder="1" applyAlignment="1">
      <alignment horizontal="right"/>
    </xf>
    <xf numFmtId="2" fontId="76" fillId="2" borderId="9" xfId="0" applyNumberFormat="1" applyFont="1" applyFill="1" applyBorder="1" applyAlignment="1">
      <alignment horizontal="right"/>
    </xf>
    <xf numFmtId="0" fontId="76" fillId="2" borderId="10" xfId="0" applyFont="1" applyFill="1" applyBorder="1" applyAlignment="1">
      <alignment horizontal="left"/>
    </xf>
    <xf numFmtId="4" fontId="76" fillId="2" borderId="8" xfId="0" applyNumberFormat="1" applyFont="1" applyFill="1" applyBorder="1" applyAlignment="1">
      <alignment horizontal="right"/>
    </xf>
    <xf numFmtId="4" fontId="76" fillId="2" borderId="8" xfId="0" applyNumberFormat="1" applyFont="1" applyFill="1" applyBorder="1"/>
    <xf numFmtId="4" fontId="76" fillId="2" borderId="8" xfId="0" applyNumberFormat="1" applyFont="1" applyFill="1" applyBorder="1" applyAlignment="1">
      <alignment vertical="top" wrapText="1"/>
    </xf>
    <xf numFmtId="4" fontId="76" fillId="2" borderId="10" xfId="0" applyNumberFormat="1" applyFont="1" applyFill="1" applyBorder="1"/>
    <xf numFmtId="0" fontId="77" fillId="2" borderId="10" xfId="0" applyFont="1" applyFill="1" applyBorder="1"/>
    <xf numFmtId="0" fontId="76" fillId="2" borderId="3" xfId="0" applyFont="1" applyFill="1" applyBorder="1"/>
    <xf numFmtId="2" fontId="76" fillId="2" borderId="3" xfId="0" applyNumberFormat="1" applyFont="1" applyFill="1" applyBorder="1" applyAlignment="1">
      <alignment horizontal="right"/>
    </xf>
    <xf numFmtId="4" fontId="76" fillId="2" borderId="2" xfId="0" applyNumberFormat="1" applyFont="1" applyFill="1" applyBorder="1" applyAlignment="1">
      <alignment horizontal="right"/>
    </xf>
    <xf numFmtId="4" fontId="76" fillId="2" borderId="2" xfId="0" applyNumberFormat="1" applyFont="1" applyFill="1" applyBorder="1" applyAlignment="1">
      <alignment vertical="top" wrapText="1"/>
    </xf>
    <xf numFmtId="0" fontId="77" fillId="2" borderId="1" xfId="0" applyFont="1" applyFill="1" applyBorder="1"/>
    <xf numFmtId="0" fontId="81" fillId="0" borderId="13" xfId="4" applyFont="1" applyBorder="1" applyAlignment="1">
      <alignment horizontal="center" vertical="top"/>
    </xf>
    <xf numFmtId="0" fontId="81" fillId="0" borderId="14" xfId="4" applyFont="1" applyBorder="1" applyAlignment="1">
      <alignment horizontal="center" vertical="top"/>
    </xf>
    <xf numFmtId="197" fontId="81" fillId="0" borderId="16" xfId="4" applyNumberFormat="1" applyFont="1" applyBorder="1" applyAlignment="1">
      <alignment horizontal="center" vertical="top"/>
    </xf>
    <xf numFmtId="197" fontId="81" fillId="0" borderId="13" xfId="4" applyNumberFormat="1" applyFont="1" applyBorder="1" applyAlignment="1">
      <alignment horizontal="center" vertical="top"/>
    </xf>
    <xf numFmtId="197" fontId="81" fillId="0" borderId="12" xfId="4" applyNumberFormat="1" applyFont="1" applyBorder="1" applyAlignment="1">
      <alignment horizontal="center" vertical="top"/>
    </xf>
    <xf numFmtId="197" fontId="81" fillId="0" borderId="13" xfId="4" applyNumberFormat="1" applyFont="1" applyBorder="1" applyAlignment="1">
      <alignment horizontal="centerContinuous" vertical="top"/>
    </xf>
    <xf numFmtId="197" fontId="81" fillId="0" borderId="14" xfId="4" applyNumberFormat="1" applyFont="1" applyBorder="1" applyAlignment="1">
      <alignment horizontal="centerContinuous" vertical="top"/>
    </xf>
    <xf numFmtId="0" fontId="81" fillId="0" borderId="16" xfId="4" applyFont="1" applyBorder="1" applyAlignment="1">
      <alignment horizontal="center" vertical="top"/>
    </xf>
    <xf numFmtId="0" fontId="81" fillId="0" borderId="17" xfId="4" applyFont="1" applyBorder="1" applyAlignment="1">
      <alignment horizontal="center" vertical="top"/>
    </xf>
    <xf numFmtId="197" fontId="81" fillId="0" borderId="15" xfId="4" applyNumberFormat="1" applyFont="1" applyBorder="1" applyAlignment="1">
      <alignment horizontal="center" vertical="top"/>
    </xf>
    <xf numFmtId="197" fontId="81" fillId="0" borderId="16" xfId="4" applyNumberFormat="1" applyFont="1" applyBorder="1" applyAlignment="1">
      <alignment horizontal="centerContinuous" vertical="top"/>
    </xf>
    <xf numFmtId="197" fontId="81" fillId="0" borderId="17" xfId="4" applyNumberFormat="1" applyFont="1" applyBorder="1" applyAlignment="1">
      <alignment horizontal="centerContinuous" vertical="top"/>
    </xf>
    <xf numFmtId="0" fontId="81" fillId="0" borderId="3" xfId="4" applyFont="1" applyBorder="1" applyAlignment="1">
      <alignment horizontal="center" vertical="top"/>
    </xf>
    <xf numFmtId="0" fontId="81" fillId="0" borderId="1" xfId="4" applyFont="1" applyBorder="1" applyAlignment="1">
      <alignment horizontal="center" vertical="top"/>
    </xf>
    <xf numFmtId="197" fontId="81" fillId="0" borderId="2" xfId="4" applyNumberFormat="1" applyFont="1" applyBorder="1" applyAlignment="1">
      <alignment horizontal="center" vertical="top"/>
    </xf>
    <xf numFmtId="197" fontId="81" fillId="0" borderId="3" xfId="4" applyNumberFormat="1" applyFont="1" applyBorder="1" applyAlignment="1">
      <alignment horizontal="center" vertical="top"/>
    </xf>
    <xf numFmtId="197" fontId="81" fillId="0" borderId="3" xfId="4" applyNumberFormat="1" applyFont="1" applyBorder="1" applyAlignment="1">
      <alignment horizontal="centerContinuous" vertical="top"/>
    </xf>
    <xf numFmtId="197" fontId="81" fillId="0" borderId="1" xfId="4" applyNumberFormat="1" applyFont="1" applyBorder="1" applyAlignment="1">
      <alignment horizontal="centerContinuous" vertical="top"/>
    </xf>
    <xf numFmtId="191" fontId="77" fillId="2" borderId="15" xfId="0" applyNumberFormat="1" applyFont="1" applyFill="1" applyBorder="1" applyAlignment="1">
      <alignment horizontal="right"/>
    </xf>
    <xf numFmtId="209" fontId="82" fillId="2" borderId="16" xfId="0" applyNumberFormat="1" applyFont="1" applyFill="1" applyBorder="1" applyAlignment="1">
      <alignment horizontal="right"/>
    </xf>
    <xf numFmtId="0" fontId="77" fillId="2" borderId="15" xfId="0" applyFont="1" applyFill="1" applyBorder="1" applyAlignment="1">
      <alignment horizontal="center" vertical="center"/>
    </xf>
    <xf numFmtId="191" fontId="77" fillId="2" borderId="15" xfId="0" applyNumberFormat="1" applyFont="1" applyFill="1" applyBorder="1"/>
    <xf numFmtId="3" fontId="77" fillId="2" borderId="15" xfId="0" applyNumberFormat="1" applyFont="1" applyFill="1" applyBorder="1"/>
    <xf numFmtId="0" fontId="77" fillId="2" borderId="0" xfId="0" applyFont="1" applyFill="1" applyProtection="1">
      <protection locked="0"/>
    </xf>
    <xf numFmtId="0" fontId="77" fillId="2" borderId="16" xfId="0" applyFont="1" applyFill="1" applyBorder="1" applyAlignment="1" applyProtection="1">
      <alignment horizontal="right"/>
      <protection locked="0"/>
    </xf>
    <xf numFmtId="0" fontId="77" fillId="2" borderId="17" xfId="0" applyFont="1" applyFill="1" applyBorder="1" applyAlignment="1" applyProtection="1">
      <alignment horizontal="left"/>
      <protection locked="0"/>
    </xf>
    <xf numFmtId="4" fontId="77" fillId="2" borderId="15" xfId="0" applyNumberFormat="1" applyFont="1" applyFill="1" applyBorder="1" applyAlignment="1" applyProtection="1">
      <alignment horizontal="right"/>
      <protection locked="0"/>
    </xf>
    <xf numFmtId="21" fontId="82" fillId="2" borderId="0" xfId="0" applyNumberFormat="1" applyFont="1" applyFill="1"/>
    <xf numFmtId="0" fontId="77" fillId="2" borderId="16" xfId="0" applyFont="1" applyFill="1" applyBorder="1" applyAlignment="1">
      <alignment horizontal="center"/>
    </xf>
    <xf numFmtId="0" fontId="77" fillId="2" borderId="12" xfId="0" applyFont="1" applyFill="1" applyBorder="1" applyAlignment="1">
      <alignment horizontal="center"/>
    </xf>
    <xf numFmtId="0" fontId="77" fillId="2" borderId="13" xfId="0" applyFont="1" applyFill="1" applyBorder="1"/>
    <xf numFmtId="0" fontId="77" fillId="2" borderId="14" xfId="0" applyFont="1" applyFill="1" applyBorder="1"/>
    <xf numFmtId="0" fontId="77" fillId="2" borderId="13" xfId="0" applyFont="1" applyFill="1" applyBorder="1" applyAlignment="1">
      <alignment horizontal="right"/>
    </xf>
    <xf numFmtId="0" fontId="77" fillId="2" borderId="14" xfId="0" applyFont="1" applyFill="1" applyBorder="1" applyAlignment="1">
      <alignment horizontal="left"/>
    </xf>
    <xf numFmtId="4" fontId="77" fillId="2" borderId="12" xfId="0" applyNumberFormat="1" applyFont="1" applyFill="1" applyBorder="1" applyAlignment="1">
      <alignment horizontal="right" vertical="center"/>
    </xf>
    <xf numFmtId="4" fontId="77" fillId="2" borderId="12" xfId="0" applyNumberFormat="1" applyFont="1" applyFill="1" applyBorder="1"/>
    <xf numFmtId="191" fontId="77" fillId="2" borderId="17" xfId="0" applyNumberFormat="1" applyFont="1" applyFill="1" applyBorder="1" applyAlignment="1">
      <alignment horizontal="right"/>
    </xf>
    <xf numFmtId="4" fontId="77" fillId="2" borderId="17" xfId="0" applyNumberFormat="1" applyFont="1" applyFill="1" applyBorder="1" applyAlignment="1">
      <alignment horizontal="right"/>
    </xf>
    <xf numFmtId="4" fontId="77" fillId="2" borderId="16" xfId="0" applyNumberFormat="1" applyFont="1" applyFill="1" applyBorder="1"/>
    <xf numFmtId="0" fontId="76" fillId="2" borderId="8" xfId="0" applyFont="1" applyFill="1" applyBorder="1" applyAlignment="1">
      <alignment horizontal="center"/>
    </xf>
    <xf numFmtId="0" fontId="76" fillId="2" borderId="8" xfId="0" applyFont="1" applyFill="1" applyBorder="1"/>
    <xf numFmtId="0" fontId="76" fillId="2" borderId="2" xfId="0" applyFont="1" applyFill="1" applyBorder="1"/>
    <xf numFmtId="1" fontId="77" fillId="2" borderId="16" xfId="0" applyNumberFormat="1" applyFont="1" applyFill="1" applyBorder="1" applyAlignment="1">
      <alignment horizontal="right"/>
    </xf>
    <xf numFmtId="0" fontId="77" fillId="2" borderId="15" xfId="0" applyFont="1" applyFill="1" applyBorder="1"/>
    <xf numFmtId="0" fontId="78" fillId="2" borderId="16" xfId="0" applyFont="1" applyFill="1" applyBorder="1"/>
    <xf numFmtId="1" fontId="77" fillId="2" borderId="0" xfId="0" applyNumberFormat="1" applyFont="1" applyFill="1"/>
    <xf numFmtId="1" fontId="77" fillId="2" borderId="0" xfId="0" applyNumberFormat="1" applyFont="1" applyFill="1" applyAlignment="1">
      <alignment horizontal="center"/>
    </xf>
    <xf numFmtId="1" fontId="77" fillId="2" borderId="13" xfId="0" applyNumberFormat="1" applyFont="1" applyFill="1" applyBorder="1" applyAlignment="1">
      <alignment horizontal="right"/>
    </xf>
    <xf numFmtId="4" fontId="77" fillId="2" borderId="12" xfId="0" applyNumberFormat="1" applyFont="1" applyFill="1" applyBorder="1" applyAlignment="1">
      <alignment horizontal="right"/>
    </xf>
    <xf numFmtId="4" fontId="77" fillId="2" borderId="14" xfId="0" applyNumberFormat="1" applyFont="1" applyFill="1" applyBorder="1"/>
    <xf numFmtId="1" fontId="77" fillId="2" borderId="0" xfId="0" applyNumberFormat="1" applyFont="1" applyFill="1" applyAlignment="1">
      <alignment horizontal="right"/>
    </xf>
    <xf numFmtId="49" fontId="77" fillId="2" borderId="0" xfId="0" applyNumberFormat="1" applyFont="1" applyFill="1" applyAlignment="1">
      <alignment horizontal="left"/>
    </xf>
    <xf numFmtId="49" fontId="77" fillId="2" borderId="15" xfId="0" applyNumberFormat="1" applyFont="1" applyFill="1" applyBorder="1" applyAlignment="1">
      <alignment horizontal="right"/>
    </xf>
    <xf numFmtId="0" fontId="77" fillId="2" borderId="34" xfId="0" applyFont="1" applyFill="1" applyBorder="1"/>
    <xf numFmtId="1" fontId="77" fillId="2" borderId="16" xfId="0" applyNumberFormat="1" applyFont="1" applyFill="1" applyBorder="1" applyAlignment="1">
      <alignment horizontal="center"/>
    </xf>
    <xf numFmtId="205" fontId="32" fillId="0" borderId="8" xfId="9" applyNumberFormat="1" applyFont="1" applyBorder="1" applyAlignment="1">
      <alignment horizontal="center"/>
    </xf>
    <xf numFmtId="201" fontId="44" fillId="0" borderId="26" xfId="9" applyNumberFormat="1" applyFont="1" applyBorder="1" applyAlignment="1">
      <alignment horizontal="center"/>
    </xf>
    <xf numFmtId="191" fontId="83" fillId="2" borderId="2" xfId="0" applyNumberFormat="1" applyFont="1" applyFill="1" applyBorder="1" applyAlignment="1">
      <alignment horizontal="center"/>
    </xf>
    <xf numFmtId="2" fontId="84" fillId="2" borderId="12" xfId="0" applyNumberFormat="1" applyFont="1" applyFill="1" applyBorder="1" applyAlignment="1">
      <alignment horizontal="centerContinuous"/>
    </xf>
    <xf numFmtId="201" fontId="65" fillId="0" borderId="15" xfId="10" applyNumberFormat="1" applyFont="1" applyBorder="1" applyAlignment="1">
      <alignment horizontal="centerContinuous"/>
    </xf>
    <xf numFmtId="201" fontId="65" fillId="0" borderId="2" xfId="10" applyNumberFormat="1" applyFont="1" applyBorder="1" applyAlignment="1">
      <alignment horizontal="centerContinuous"/>
    </xf>
    <xf numFmtId="201" fontId="32" fillId="0" borderId="0" xfId="10" applyNumberFormat="1" applyFont="1" applyBorder="1"/>
    <xf numFmtId="0" fontId="42" fillId="2" borderId="4" xfId="0" applyFont="1" applyFill="1" applyBorder="1" applyAlignment="1">
      <alignment horizontal="left"/>
    </xf>
    <xf numFmtId="0" fontId="42" fillId="2" borderId="4" xfId="0" applyFont="1" applyFill="1" applyBorder="1" applyAlignment="1">
      <alignment horizontal="centerContinuous"/>
    </xf>
    <xf numFmtId="2" fontId="42" fillId="2" borderId="4" xfId="0" applyNumberFormat="1" applyFont="1" applyFill="1" applyBorder="1" applyAlignment="1">
      <alignment horizontal="centerContinuous"/>
    </xf>
    <xf numFmtId="191" fontId="42" fillId="2" borderId="4" xfId="0" applyNumberFormat="1" applyFont="1" applyFill="1" applyBorder="1" applyAlignment="1">
      <alignment horizontal="centerContinuous"/>
    </xf>
    <xf numFmtId="3" fontId="42" fillId="2" borderId="4" xfId="0" applyNumberFormat="1" applyFont="1" applyFill="1" applyBorder="1" applyAlignment="1">
      <alignment horizontal="centerContinuous"/>
    </xf>
    <xf numFmtId="4" fontId="42" fillId="2" borderId="4" xfId="0" applyNumberFormat="1" applyFont="1" applyFill="1" applyBorder="1" applyAlignment="1">
      <alignment horizontal="centerContinuous"/>
    </xf>
    <xf numFmtId="191" fontId="42" fillId="2" borderId="4" xfId="0" applyNumberFormat="1" applyFont="1" applyFill="1" applyBorder="1" applyAlignment="1">
      <alignment horizontal="right"/>
    </xf>
    <xf numFmtId="204" fontId="42" fillId="2" borderId="4" xfId="0" applyNumberFormat="1" applyFont="1" applyFill="1" applyBorder="1" applyAlignment="1">
      <alignment horizontal="center"/>
    </xf>
    <xf numFmtId="0" fontId="61" fillId="2" borderId="4" xfId="0" applyFont="1" applyFill="1" applyBorder="1" applyAlignment="1">
      <alignment horizontal="centerContinuous"/>
    </xf>
    <xf numFmtId="2" fontId="42" fillId="2" borderId="4" xfId="0" applyNumberFormat="1" applyFont="1" applyFill="1" applyBorder="1"/>
    <xf numFmtId="191" fontId="42" fillId="2" borderId="4" xfId="0" applyNumberFormat="1" applyFont="1" applyFill="1" applyBorder="1"/>
    <xf numFmtId="49" fontId="61" fillId="2" borderId="4" xfId="0" applyNumberFormat="1" applyFont="1" applyFill="1" applyBorder="1"/>
    <xf numFmtId="3" fontId="61" fillId="2" borderId="4" xfId="0" applyNumberFormat="1" applyFont="1" applyFill="1" applyBorder="1"/>
    <xf numFmtId="4" fontId="61" fillId="2" borderId="4" xfId="0" applyNumberFormat="1" applyFont="1" applyFill="1" applyBorder="1" applyAlignment="1">
      <alignment horizontal="centerContinuous"/>
    </xf>
    <xf numFmtId="196" fontId="61" fillId="2" borderId="4" xfId="0" applyNumberFormat="1" applyFont="1" applyFill="1" applyBorder="1"/>
    <xf numFmtId="0" fontId="42" fillId="2" borderId="0" xfId="0" applyFont="1" applyFill="1" applyAlignment="1">
      <alignment horizontal="left"/>
    </xf>
    <xf numFmtId="0" fontId="42" fillId="2" borderId="0" xfId="0" applyFont="1" applyFill="1" applyAlignment="1">
      <alignment horizontal="centerContinuous"/>
    </xf>
    <xf numFmtId="2" fontId="42" fillId="2" borderId="0" xfId="0" applyNumberFormat="1" applyFont="1" applyFill="1"/>
    <xf numFmtId="191" fontId="42" fillId="2" borderId="0" xfId="0" applyNumberFormat="1" applyFont="1" applyFill="1" applyAlignment="1">
      <alignment horizontal="centerContinuous"/>
    </xf>
    <xf numFmtId="3" fontId="42" fillId="2" borderId="0" xfId="0" applyNumberFormat="1" applyFont="1" applyFill="1" applyAlignment="1">
      <alignment horizontal="centerContinuous"/>
    </xf>
    <xf numFmtId="4" fontId="42" fillId="2" borderId="0" xfId="0" applyNumberFormat="1" applyFont="1" applyFill="1" applyAlignment="1">
      <alignment horizontal="centerContinuous"/>
    </xf>
    <xf numFmtId="0" fontId="42" fillId="2" borderId="12" xfId="0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Continuous"/>
    </xf>
    <xf numFmtId="0" fontId="42" fillId="2" borderId="14" xfId="0" applyFont="1" applyFill="1" applyBorder="1" applyAlignment="1">
      <alignment horizontal="centerContinuous"/>
    </xf>
    <xf numFmtId="2" fontId="42" fillId="2" borderId="12" xfId="0" applyNumberFormat="1" applyFont="1" applyFill="1" applyBorder="1" applyAlignment="1">
      <alignment horizontal="centerContinuous"/>
    </xf>
    <xf numFmtId="0" fontId="42" fillId="2" borderId="12" xfId="0" applyFont="1" applyFill="1" applyBorder="1" applyAlignment="1">
      <alignment horizontal="centerContinuous"/>
    </xf>
    <xf numFmtId="191" fontId="42" fillId="2" borderId="5" xfId="0" applyNumberFormat="1" applyFont="1" applyFill="1" applyBorder="1" applyAlignment="1">
      <alignment horizontal="centerContinuous"/>
    </xf>
    <xf numFmtId="3" fontId="42" fillId="2" borderId="5" xfId="0" applyNumberFormat="1" applyFont="1" applyFill="1" applyBorder="1" applyAlignment="1">
      <alignment horizontal="centerContinuous"/>
    </xf>
    <xf numFmtId="4" fontId="42" fillId="2" borderId="5" xfId="0" applyNumberFormat="1" applyFont="1" applyFill="1" applyBorder="1" applyAlignment="1">
      <alignment horizontal="centerContinuous"/>
    </xf>
    <xf numFmtId="0" fontId="42" fillId="2" borderId="1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/>
    </xf>
    <xf numFmtId="0" fontId="42" fillId="2" borderId="3" xfId="0" applyFont="1" applyFill="1" applyBorder="1" applyAlignment="1">
      <alignment horizontal="left"/>
    </xf>
    <xf numFmtId="0" fontId="42" fillId="2" borderId="1" xfId="0" applyFont="1" applyFill="1" applyBorder="1" applyAlignment="1">
      <alignment horizontal="left"/>
    </xf>
    <xf numFmtId="2" fontId="42" fillId="2" borderId="3" xfId="0" applyNumberFormat="1" applyFont="1" applyFill="1" applyBorder="1" applyAlignment="1">
      <alignment horizontal="centerContinuous"/>
    </xf>
    <xf numFmtId="0" fontId="42" fillId="2" borderId="1" xfId="0" applyFont="1" applyFill="1" applyBorder="1" applyAlignment="1">
      <alignment horizontal="centerContinuous"/>
    </xf>
    <xf numFmtId="191" fontId="47" fillId="2" borderId="2" xfId="0" applyNumberFormat="1" applyFont="1" applyFill="1" applyBorder="1" applyAlignment="1">
      <alignment horizontal="center"/>
    </xf>
    <xf numFmtId="3" fontId="42" fillId="2" borderId="2" xfId="0" applyNumberFormat="1" applyFont="1" applyFill="1" applyBorder="1" applyAlignment="1">
      <alignment horizontal="center"/>
    </xf>
    <xf numFmtId="4" fontId="42" fillId="2" borderId="2" xfId="0" applyNumberFormat="1" applyFont="1" applyFill="1" applyBorder="1" applyAlignment="1">
      <alignment horizontal="center"/>
    </xf>
    <xf numFmtId="201" fontId="32" fillId="0" borderId="4" xfId="10" applyNumberFormat="1" applyFont="1" applyBorder="1" applyAlignment="1">
      <alignment horizontal="left"/>
    </xf>
    <xf numFmtId="0" fontId="43" fillId="2" borderId="0" xfId="0" applyFont="1" applyFill="1"/>
    <xf numFmtId="0" fontId="60" fillId="2" borderId="37" xfId="0" applyFont="1" applyFill="1" applyBorder="1"/>
    <xf numFmtId="0" fontId="43" fillId="2" borderId="37" xfId="0" applyFont="1" applyFill="1" applyBorder="1"/>
    <xf numFmtId="0" fontId="43" fillId="2" borderId="0" xfId="0" applyFont="1" applyFill="1" applyAlignment="1">
      <alignment horizontal="right"/>
    </xf>
    <xf numFmtId="0" fontId="43" fillId="2" borderId="2" xfId="0" applyFont="1" applyFill="1" applyBorder="1"/>
    <xf numFmtId="0" fontId="28" fillId="0" borderId="0" xfId="0" applyFont="1"/>
    <xf numFmtId="0" fontId="28" fillId="0" borderId="0" xfId="12" applyFont="1"/>
    <xf numFmtId="201" fontId="57" fillId="0" borderId="0" xfId="10" applyNumberFormat="1" applyFont="1" applyBorder="1"/>
    <xf numFmtId="0" fontId="32" fillId="0" borderId="0" xfId="11" applyFont="1" applyBorder="1"/>
    <xf numFmtId="201" fontId="58" fillId="0" borderId="0" xfId="10" applyNumberFormat="1" applyFont="1" applyBorder="1" applyAlignment="1">
      <alignment horizontal="left"/>
    </xf>
    <xf numFmtId="201" fontId="32" fillId="0" borderId="0" xfId="10" applyNumberFormat="1" applyFont="1" applyBorder="1" applyAlignment="1">
      <alignment horizontal="left"/>
    </xf>
    <xf numFmtId="201" fontId="32" fillId="0" borderId="0" xfId="10" applyNumberFormat="1" applyFont="1" applyBorder="1" applyAlignment="1">
      <alignment horizontal="right"/>
    </xf>
    <xf numFmtId="201" fontId="32" fillId="0" borderId="0" xfId="10" applyNumberFormat="1" applyFont="1" applyAlignment="1">
      <alignment horizontal="center" vertical="center"/>
    </xf>
    <xf numFmtId="201" fontId="74" fillId="0" borderId="0" xfId="10" applyNumberFormat="1" applyFont="1" applyAlignment="1">
      <alignment horizontal="centerContinuous"/>
    </xf>
    <xf numFmtId="201" fontId="32" fillId="0" borderId="22" xfId="10" applyNumberFormat="1" applyFont="1" applyBorder="1" applyAlignment="1">
      <alignment horizontal="centerContinuous"/>
    </xf>
    <xf numFmtId="201" fontId="32" fillId="0" borderId="23" xfId="10" applyNumberFormat="1" applyFont="1" applyBorder="1" applyAlignment="1">
      <alignment horizontal="centerContinuous"/>
    </xf>
    <xf numFmtId="201" fontId="32" fillId="0" borderId="39" xfId="10" applyNumberFormat="1" applyFont="1" applyBorder="1" applyAlignment="1">
      <alignment horizontal="centerContinuous"/>
    </xf>
    <xf numFmtId="201" fontId="32" fillId="0" borderId="38" xfId="10" applyNumberFormat="1" applyFont="1" applyBorder="1" applyAlignment="1">
      <alignment horizontal="centerContinuous"/>
    </xf>
    <xf numFmtId="201" fontId="44" fillId="0" borderId="31" xfId="10" applyNumberFormat="1" applyFont="1" applyBorder="1"/>
    <xf numFmtId="201" fontId="45" fillId="0" borderId="31" xfId="10" applyNumberFormat="1" applyFont="1" applyBorder="1" applyAlignment="1">
      <alignment horizontal="left"/>
    </xf>
    <xf numFmtId="201" fontId="44" fillId="0" borderId="0" xfId="10" applyNumberFormat="1" applyFont="1" applyBorder="1"/>
    <xf numFmtId="201" fontId="45" fillId="0" borderId="0" xfId="10" applyNumberFormat="1" applyFont="1" applyBorder="1" applyAlignment="1">
      <alignment horizontal="left"/>
    </xf>
    <xf numFmtId="0" fontId="42" fillId="0" borderId="0" xfId="0" applyFont="1"/>
    <xf numFmtId="0" fontId="42" fillId="2" borderId="13" xfId="0" applyFont="1" applyFill="1" applyBorder="1"/>
    <xf numFmtId="0" fontId="42" fillId="2" borderId="14" xfId="0" applyFont="1" applyFill="1" applyBorder="1"/>
    <xf numFmtId="0" fontId="42" fillId="2" borderId="13" xfId="0" applyFont="1" applyFill="1" applyBorder="1" applyAlignment="1">
      <alignment horizontal="right"/>
    </xf>
    <xf numFmtId="0" fontId="42" fillId="2" borderId="14" xfId="0" applyFont="1" applyFill="1" applyBorder="1" applyAlignment="1">
      <alignment horizontal="left"/>
    </xf>
    <xf numFmtId="4" fontId="42" fillId="2" borderId="14" xfId="0" applyNumberFormat="1" applyFont="1" applyFill="1" applyBorder="1" applyAlignment="1">
      <alignment horizontal="right"/>
    </xf>
    <xf numFmtId="4" fontId="42" fillId="2" borderId="17" xfId="0" applyNumberFormat="1" applyFont="1" applyFill="1" applyBorder="1"/>
    <xf numFmtId="0" fontId="42" fillId="2" borderId="17" xfId="0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/>
    </xf>
    <xf numFmtId="0" fontId="42" fillId="2" borderId="16" xfId="0" applyFont="1" applyFill="1" applyBorder="1"/>
    <xf numFmtId="0" fontId="42" fillId="2" borderId="17" xfId="0" applyFont="1" applyFill="1" applyBorder="1"/>
    <xf numFmtId="0" fontId="42" fillId="2" borderId="16" xfId="0" applyFont="1" applyFill="1" applyBorder="1" applyAlignment="1">
      <alignment horizontal="right"/>
    </xf>
    <xf numFmtId="0" fontId="42" fillId="2" borderId="17" xfId="0" applyFont="1" applyFill="1" applyBorder="1" applyAlignment="1">
      <alignment horizontal="left"/>
    </xf>
    <xf numFmtId="4" fontId="42" fillId="2" borderId="17" xfId="0" applyNumberFormat="1" applyFont="1" applyFill="1" applyBorder="1" applyAlignment="1">
      <alignment horizontal="right"/>
    </xf>
    <xf numFmtId="0" fontId="42" fillId="2" borderId="16" xfId="5" applyFont="1" applyFill="1" applyBorder="1"/>
    <xf numFmtId="0" fontId="63" fillId="2" borderId="16" xfId="0" applyFont="1" applyFill="1" applyBorder="1"/>
    <xf numFmtId="4" fontId="42" fillId="2" borderId="0" xfId="0" applyNumberFormat="1" applyFont="1" applyFill="1"/>
    <xf numFmtId="0" fontId="42" fillId="2" borderId="5" xfId="0" applyFont="1" applyFill="1" applyBorder="1"/>
    <xf numFmtId="4" fontId="42" fillId="2" borderId="15" xfId="0" applyNumberFormat="1" applyFont="1" applyFill="1" applyBorder="1" applyAlignment="1">
      <alignment horizontal="right"/>
    </xf>
    <xf numFmtId="4" fontId="42" fillId="2" borderId="15" xfId="0" applyNumberFormat="1" applyFont="1" applyFill="1" applyBorder="1"/>
    <xf numFmtId="0" fontId="42" fillId="2" borderId="15" xfId="0" applyFont="1" applyFill="1" applyBorder="1" applyAlignment="1">
      <alignment horizontal="center" vertical="center"/>
    </xf>
    <xf numFmtId="4" fontId="42" fillId="2" borderId="5" xfId="0" applyNumberFormat="1" applyFont="1" applyFill="1" applyBorder="1"/>
    <xf numFmtId="3" fontId="42" fillId="2" borderId="0" xfId="0" applyNumberFormat="1" applyFont="1" applyFill="1"/>
    <xf numFmtId="0" fontId="42" fillId="2" borderId="15" xfId="0" quotePrefix="1" applyFont="1" applyFill="1" applyBorder="1" applyAlignment="1">
      <alignment horizontal="center"/>
    </xf>
    <xf numFmtId="0" fontId="63" fillId="2" borderId="0" xfId="0" applyFont="1" applyFill="1" applyAlignment="1">
      <alignment horizontal="left"/>
    </xf>
    <xf numFmtId="4" fontId="42" fillId="2" borderId="15" xfId="0" applyNumberFormat="1" applyFont="1" applyFill="1" applyBorder="1" applyAlignment="1">
      <alignment horizontal="center"/>
    </xf>
    <xf numFmtId="0" fontId="43" fillId="2" borderId="8" xfId="0" applyFont="1" applyFill="1" applyBorder="1" applyAlignment="1">
      <alignment horizontal="center"/>
    </xf>
    <xf numFmtId="0" fontId="43" fillId="2" borderId="9" xfId="0" applyFont="1" applyFill="1" applyBorder="1"/>
    <xf numFmtId="0" fontId="43" fillId="2" borderId="10" xfId="0" applyFont="1" applyFill="1" applyBorder="1" applyAlignment="1">
      <alignment horizontal="right"/>
    </xf>
    <xf numFmtId="2" fontId="43" fillId="2" borderId="9" xfId="0" applyNumberFormat="1" applyFont="1" applyFill="1" applyBorder="1" applyAlignment="1">
      <alignment horizontal="right"/>
    </xf>
    <xf numFmtId="0" fontId="43" fillId="2" borderId="10" xfId="0" applyFont="1" applyFill="1" applyBorder="1" applyAlignment="1">
      <alignment horizontal="left"/>
    </xf>
    <xf numFmtId="4" fontId="43" fillId="2" borderId="8" xfId="0" applyNumberFormat="1" applyFont="1" applyFill="1" applyBorder="1" applyAlignment="1">
      <alignment horizontal="right"/>
    </xf>
    <xf numFmtId="4" fontId="43" fillId="2" borderId="8" xfId="0" applyNumberFormat="1" applyFont="1" applyFill="1" applyBorder="1"/>
    <xf numFmtId="4" fontId="43" fillId="2" borderId="8" xfId="0" applyNumberFormat="1" applyFont="1" applyFill="1" applyBorder="1" applyAlignment="1">
      <alignment vertical="top" wrapText="1"/>
    </xf>
    <xf numFmtId="4" fontId="43" fillId="2" borderId="10" xfId="0" applyNumberFormat="1" applyFont="1" applyFill="1" applyBorder="1"/>
    <xf numFmtId="0" fontId="42" fillId="2" borderId="10" xfId="0" applyFont="1" applyFill="1" applyBorder="1"/>
    <xf numFmtId="0" fontId="43" fillId="2" borderId="3" xfId="0" applyFont="1" applyFill="1" applyBorder="1"/>
    <xf numFmtId="0" fontId="43" fillId="2" borderId="1" xfId="0" applyFont="1" applyFill="1" applyBorder="1" applyAlignment="1">
      <alignment horizontal="right"/>
    </xf>
    <xf numFmtId="2" fontId="43" fillId="2" borderId="3" xfId="0" applyNumberFormat="1" applyFont="1" applyFill="1" applyBorder="1" applyAlignment="1">
      <alignment horizontal="right"/>
    </xf>
    <xf numFmtId="4" fontId="43" fillId="2" borderId="2" xfId="0" applyNumberFormat="1" applyFont="1" applyFill="1" applyBorder="1" applyAlignment="1">
      <alignment horizontal="right"/>
    </xf>
    <xf numFmtId="4" fontId="43" fillId="2" borderId="2" xfId="0" applyNumberFormat="1" applyFont="1" applyFill="1" applyBorder="1"/>
    <xf numFmtId="4" fontId="43" fillId="2" borderId="2" xfId="0" applyNumberFormat="1" applyFont="1" applyFill="1" applyBorder="1" applyAlignment="1">
      <alignment vertical="top" wrapText="1"/>
    </xf>
    <xf numFmtId="0" fontId="42" fillId="2" borderId="1" xfId="0" applyFont="1" applyFill="1" applyBorder="1"/>
    <xf numFmtId="192" fontId="42" fillId="2" borderId="16" xfId="0" applyNumberFormat="1" applyFont="1" applyFill="1" applyBorder="1"/>
    <xf numFmtId="0" fontId="85" fillId="2" borderId="0" xfId="0" applyFont="1" applyFill="1"/>
    <xf numFmtId="0" fontId="63" fillId="2" borderId="0" xfId="0" applyFont="1" applyFill="1"/>
    <xf numFmtId="0" fontId="43" fillId="2" borderId="8" xfId="0" applyFont="1" applyFill="1" applyBorder="1"/>
    <xf numFmtId="1" fontId="42" fillId="2" borderId="16" xfId="0" applyNumberFormat="1" applyFont="1" applyFill="1" applyBorder="1" applyAlignment="1">
      <alignment horizontal="right"/>
    </xf>
    <xf numFmtId="191" fontId="42" fillId="2" borderId="15" xfId="0" applyNumberFormat="1" applyFont="1" applyFill="1" applyBorder="1" applyAlignment="1">
      <alignment horizontal="right"/>
    </xf>
    <xf numFmtId="191" fontId="42" fillId="2" borderId="15" xfId="0" applyNumberFormat="1" applyFont="1" applyFill="1" applyBorder="1" applyAlignment="1">
      <alignment horizontal="right" vertical="top" wrapText="1"/>
    </xf>
    <xf numFmtId="4" fontId="42" fillId="2" borderId="12" xfId="0" applyNumberFormat="1" applyFont="1" applyFill="1" applyBorder="1"/>
    <xf numFmtId="0" fontId="42" fillId="2" borderId="12" xfId="0" applyFont="1" applyFill="1" applyBorder="1"/>
    <xf numFmtId="2" fontId="42" fillId="2" borderId="16" xfId="0" applyNumberFormat="1" applyFont="1" applyFill="1" applyBorder="1" applyAlignment="1">
      <alignment horizontal="right"/>
    </xf>
    <xf numFmtId="3" fontId="42" fillId="2" borderId="15" xfId="0" applyNumberFormat="1" applyFont="1" applyFill="1" applyBorder="1" applyAlignment="1">
      <alignment horizontal="right"/>
    </xf>
    <xf numFmtId="0" fontId="42" fillId="2" borderId="15" xfId="0" applyFont="1" applyFill="1" applyBorder="1"/>
    <xf numFmtId="1" fontId="42" fillId="2" borderId="0" xfId="0" applyNumberFormat="1" applyFont="1" applyFill="1" applyAlignment="1">
      <alignment horizontal="centerContinuous"/>
    </xf>
    <xf numFmtId="190" fontId="42" fillId="2" borderId="0" xfId="0" applyNumberFormat="1" applyFont="1" applyFill="1" applyAlignment="1">
      <alignment horizontal="centerContinuous"/>
    </xf>
    <xf numFmtId="188" fontId="42" fillId="2" borderId="0" xfId="0" applyNumberFormat="1" applyFont="1" applyFill="1" applyAlignment="1">
      <alignment horizontal="centerContinuous"/>
    </xf>
    <xf numFmtId="0" fontId="72" fillId="2" borderId="0" xfId="0" applyFont="1" applyFill="1"/>
    <xf numFmtId="191" fontId="42" fillId="2" borderId="15" xfId="0" applyNumberFormat="1" applyFont="1" applyFill="1" applyBorder="1"/>
    <xf numFmtId="21" fontId="42" fillId="2" borderId="0" xfId="0" applyNumberFormat="1" applyFont="1" applyFill="1"/>
    <xf numFmtId="3" fontId="42" fillId="2" borderId="16" xfId="0" applyNumberFormat="1" applyFont="1" applyFill="1" applyBorder="1"/>
    <xf numFmtId="4" fontId="43" fillId="2" borderId="17" xfId="0" applyNumberFormat="1" applyFont="1" applyFill="1" applyBorder="1"/>
    <xf numFmtId="4" fontId="43" fillId="2" borderId="20" xfId="0" applyNumberFormat="1" applyFont="1" applyFill="1" applyBorder="1"/>
    <xf numFmtId="0" fontId="42" fillId="2" borderId="17" xfId="0" applyFont="1" applyFill="1" applyBorder="1" applyAlignment="1">
      <alignment horizontal="right"/>
    </xf>
    <xf numFmtId="4" fontId="42" fillId="2" borderId="15" xfId="0" applyNumberFormat="1" applyFont="1" applyFill="1" applyBorder="1" applyAlignment="1">
      <alignment horizontal="right" vertical="center"/>
    </xf>
    <xf numFmtId="1" fontId="42" fillId="2" borderId="0" xfId="0" applyNumberFormat="1" applyFont="1" applyFill="1"/>
    <xf numFmtId="0" fontId="63" fillId="2" borderId="0" xfId="0" applyFont="1" applyFill="1" applyAlignment="1">
      <alignment horizontal="right"/>
    </xf>
    <xf numFmtId="1" fontId="42" fillId="2" borderId="16" xfId="0" applyNumberFormat="1" applyFont="1" applyFill="1" applyBorder="1"/>
    <xf numFmtId="0" fontId="63" fillId="2" borderId="17" xfId="0" applyFont="1" applyFill="1" applyBorder="1" applyAlignment="1">
      <alignment horizontal="right"/>
    </xf>
    <xf numFmtId="1" fontId="43" fillId="2" borderId="9" xfId="0" applyNumberFormat="1" applyFont="1" applyFill="1" applyBorder="1" applyAlignment="1">
      <alignment horizontal="right"/>
    </xf>
    <xf numFmtId="0" fontId="43" fillId="2" borderId="5" xfId="0" applyFont="1" applyFill="1" applyBorder="1" applyAlignment="1">
      <alignment horizontal="center"/>
    </xf>
    <xf numFmtId="0" fontId="86" fillId="2" borderId="0" xfId="0" applyFont="1" applyFill="1"/>
    <xf numFmtId="0" fontId="86" fillId="2" borderId="17" xfId="0" applyFont="1" applyFill="1" applyBorder="1"/>
    <xf numFmtId="2" fontId="42" fillId="2" borderId="0" xfId="0" applyNumberFormat="1" applyFont="1" applyFill="1" applyAlignment="1">
      <alignment horizontal="right"/>
    </xf>
    <xf numFmtId="21" fontId="63" fillId="2" borderId="0" xfId="0" applyNumberFormat="1" applyFont="1" applyFill="1"/>
    <xf numFmtId="0" fontId="85" fillId="2" borderId="16" xfId="0" applyFont="1" applyFill="1" applyBorder="1"/>
    <xf numFmtId="209" fontId="42" fillId="2" borderId="16" xfId="0" applyNumberFormat="1" applyFont="1" applyFill="1" applyBorder="1" applyAlignment="1">
      <alignment horizontal="right"/>
    </xf>
    <xf numFmtId="4" fontId="85" fillId="2" borderId="15" xfId="0" applyNumberFormat="1" applyFont="1" applyFill="1" applyBorder="1" applyAlignment="1">
      <alignment horizontal="right" vertical="center"/>
    </xf>
    <xf numFmtId="4" fontId="85" fillId="2" borderId="15" xfId="0" applyNumberFormat="1" applyFont="1" applyFill="1" applyBorder="1" applyAlignment="1">
      <alignment horizontal="right"/>
    </xf>
    <xf numFmtId="4" fontId="85" fillId="2" borderId="17" xfId="0" applyNumberFormat="1" applyFont="1" applyFill="1" applyBorder="1"/>
    <xf numFmtId="0" fontId="63" fillId="2" borderId="17" xfId="0" applyFont="1" applyFill="1" applyBorder="1"/>
    <xf numFmtId="0" fontId="42" fillId="2" borderId="8" xfId="0" applyFont="1" applyFill="1" applyBorder="1" applyAlignment="1">
      <alignment horizontal="center" vertical="top"/>
    </xf>
    <xf numFmtId="0" fontId="42" fillId="2" borderId="9" xfId="0" applyFont="1" applyFill="1" applyBorder="1"/>
    <xf numFmtId="0" fontId="42" fillId="2" borderId="10" xfId="0" applyFont="1" applyFill="1" applyBorder="1" applyAlignment="1">
      <alignment horizontal="right"/>
    </xf>
    <xf numFmtId="2" fontId="42" fillId="2" borderId="9" xfId="0" applyNumberFormat="1" applyFont="1" applyFill="1" applyBorder="1" applyAlignment="1">
      <alignment horizontal="right"/>
    </xf>
    <xf numFmtId="0" fontId="42" fillId="2" borderId="10" xfId="0" applyFont="1" applyFill="1" applyBorder="1" applyAlignment="1">
      <alignment horizontal="left"/>
    </xf>
    <xf numFmtId="4" fontId="42" fillId="2" borderId="8" xfId="0" applyNumberFormat="1" applyFont="1" applyFill="1" applyBorder="1" applyAlignment="1">
      <alignment horizontal="right"/>
    </xf>
    <xf numFmtId="4" fontId="42" fillId="2" borderId="8" xfId="0" applyNumberFormat="1" applyFont="1" applyFill="1" applyBorder="1"/>
    <xf numFmtId="4" fontId="42" fillId="2" borderId="8" xfId="0" applyNumberFormat="1" applyFont="1" applyFill="1" applyBorder="1" applyAlignment="1">
      <alignment vertical="top" wrapText="1"/>
    </xf>
    <xf numFmtId="4" fontId="42" fillId="2" borderId="10" xfId="0" applyNumberFormat="1" applyFont="1" applyFill="1" applyBorder="1"/>
    <xf numFmtId="0" fontId="42" fillId="2" borderId="3" xfId="0" applyFont="1" applyFill="1" applyBorder="1"/>
    <xf numFmtId="0" fontId="42" fillId="2" borderId="1" xfId="0" applyFont="1" applyFill="1" applyBorder="1" applyAlignment="1">
      <alignment horizontal="right"/>
    </xf>
    <xf numFmtId="2" fontId="42" fillId="2" borderId="3" xfId="0" applyNumberFormat="1" applyFont="1" applyFill="1" applyBorder="1" applyAlignment="1">
      <alignment horizontal="right"/>
    </xf>
    <xf numFmtId="4" fontId="42" fillId="2" borderId="2" xfId="0" applyNumberFormat="1" applyFont="1" applyFill="1" applyBorder="1" applyAlignment="1">
      <alignment horizontal="right"/>
    </xf>
    <xf numFmtId="4" fontId="42" fillId="2" borderId="2" xfId="0" applyNumberFormat="1" applyFont="1" applyFill="1" applyBorder="1"/>
    <xf numFmtId="4" fontId="42" fillId="2" borderId="2" xfId="0" applyNumberFormat="1" applyFont="1" applyFill="1" applyBorder="1" applyAlignment="1">
      <alignment vertical="top" wrapText="1"/>
    </xf>
    <xf numFmtId="4" fontId="42" fillId="2" borderId="1" xfId="0" applyNumberFormat="1" applyFont="1" applyFill="1" applyBorder="1"/>
    <xf numFmtId="0" fontId="87" fillId="2" borderId="0" xfId="0" applyFont="1" applyFill="1"/>
    <xf numFmtId="0" fontId="72" fillId="2" borderId="16" xfId="0" applyFont="1" applyFill="1" applyBorder="1"/>
    <xf numFmtId="21" fontId="72" fillId="2" borderId="0" xfId="0" applyNumberFormat="1" applyFont="1" applyFill="1"/>
    <xf numFmtId="3" fontId="42" fillId="2" borderId="16" xfId="0" applyNumberFormat="1" applyFont="1" applyFill="1" applyBorder="1" applyAlignment="1">
      <alignment horizontal="right"/>
    </xf>
    <xf numFmtId="200" fontId="42" fillId="2" borderId="15" xfId="0" applyNumberFormat="1" applyFont="1" applyFill="1" applyBorder="1" applyAlignment="1">
      <alignment horizontal="center"/>
    </xf>
    <xf numFmtId="2" fontId="42" fillId="2" borderId="15" xfId="0" applyNumberFormat="1" applyFont="1" applyFill="1" applyBorder="1" applyAlignment="1">
      <alignment horizontal="center"/>
    </xf>
    <xf numFmtId="0" fontId="43" fillId="2" borderId="3" xfId="0" applyFont="1" applyFill="1" applyBorder="1" applyAlignment="1">
      <alignment horizontal="right"/>
    </xf>
    <xf numFmtId="0" fontId="42" fillId="2" borderId="18" xfId="0" applyFont="1" applyFill="1" applyBorder="1" applyAlignment="1">
      <alignment horizontal="right"/>
    </xf>
    <xf numFmtId="4" fontId="42" fillId="2" borderId="3" xfId="0" applyNumberFormat="1" applyFont="1" applyFill="1" applyBorder="1" applyAlignment="1">
      <alignment horizontal="right" vertical="center"/>
    </xf>
    <xf numFmtId="4" fontId="43" fillId="2" borderId="3" xfId="0" applyNumberFormat="1" applyFont="1" applyFill="1" applyBorder="1" applyAlignment="1">
      <alignment horizontal="right" vertical="center"/>
    </xf>
    <xf numFmtId="4" fontId="43" fillId="2" borderId="2" xfId="0" applyNumberFormat="1" applyFont="1" applyFill="1" applyBorder="1" applyAlignment="1">
      <alignment horizontal="right" vertical="center"/>
    </xf>
    <xf numFmtId="0" fontId="43" fillId="2" borderId="16" xfId="0" applyFont="1" applyFill="1" applyBorder="1" applyAlignment="1">
      <alignment horizontal="right"/>
    </xf>
    <xf numFmtId="4" fontId="43" fillId="2" borderId="15" xfId="0" applyNumberFormat="1" applyFont="1" applyFill="1" applyBorder="1" applyAlignment="1">
      <alignment horizontal="right" vertical="center"/>
    </xf>
    <xf numFmtId="0" fontId="42" fillId="2" borderId="5" xfId="0" applyFont="1" applyFill="1" applyBorder="1" applyAlignment="1">
      <alignment horizontal="center"/>
    </xf>
    <xf numFmtId="4" fontId="42" fillId="2" borderId="15" xfId="6" applyNumberFormat="1" applyFont="1" applyFill="1" applyBorder="1" applyAlignment="1">
      <alignment horizontal="right"/>
    </xf>
    <xf numFmtId="0" fontId="43" fillId="2" borderId="17" xfId="0" applyFont="1" applyFill="1" applyBorder="1" applyAlignment="1">
      <alignment horizontal="right"/>
    </xf>
    <xf numFmtId="4" fontId="42" fillId="2" borderId="16" xfId="0" applyNumberFormat="1" applyFont="1" applyFill="1" applyBorder="1" applyAlignment="1">
      <alignment horizontal="right"/>
    </xf>
    <xf numFmtId="0" fontId="42" fillId="2" borderId="17" xfId="0" applyFont="1" applyFill="1" applyBorder="1" applyAlignment="1">
      <alignment wrapText="1"/>
    </xf>
    <xf numFmtId="0" fontId="42" fillId="2" borderId="0" xfId="0" applyFont="1" applyFill="1" applyAlignment="1">
      <alignment horizontal="right" vertical="top"/>
    </xf>
    <xf numFmtId="0" fontId="42" fillId="2" borderId="0" xfId="0" applyFont="1" applyFill="1" applyAlignment="1">
      <alignment horizontal="left" vertical="top"/>
    </xf>
    <xf numFmtId="4" fontId="42" fillId="2" borderId="15" xfId="0" applyNumberFormat="1" applyFont="1" applyFill="1" applyBorder="1" applyAlignment="1">
      <alignment horizontal="right" vertical="top"/>
    </xf>
    <xf numFmtId="4" fontId="42" fillId="2" borderId="15" xfId="0" applyNumberFormat="1" applyFont="1" applyFill="1" applyBorder="1" applyAlignment="1">
      <alignment vertical="top"/>
    </xf>
    <xf numFmtId="4" fontId="43" fillId="2" borderId="1" xfId="0" applyNumberFormat="1" applyFont="1" applyFill="1" applyBorder="1"/>
    <xf numFmtId="0" fontId="87" fillId="2" borderId="16" xfId="0" applyFont="1" applyFill="1" applyBorder="1" applyAlignment="1">
      <alignment horizontal="left"/>
    </xf>
    <xf numFmtId="4" fontId="42" fillId="2" borderId="0" xfId="0" applyNumberFormat="1" applyFont="1" applyFill="1" applyAlignment="1">
      <alignment horizontal="right"/>
    </xf>
    <xf numFmtId="49" fontId="42" fillId="2" borderId="15" xfId="0" applyNumberFormat="1" applyFont="1" applyFill="1" applyBorder="1" applyAlignment="1">
      <alignment horizontal="center"/>
    </xf>
    <xf numFmtId="3" fontId="42" fillId="2" borderId="0" xfId="0" applyNumberFormat="1" applyFont="1" applyFill="1" applyAlignment="1">
      <alignment horizontal="center"/>
    </xf>
    <xf numFmtId="0" fontId="63" fillId="2" borderId="17" xfId="0" applyFont="1" applyFill="1" applyBorder="1" applyAlignment="1">
      <alignment horizontal="left"/>
    </xf>
    <xf numFmtId="0" fontId="87" fillId="2" borderId="16" xfId="0" applyFont="1" applyFill="1" applyBorder="1"/>
    <xf numFmtId="0" fontId="43" fillId="2" borderId="10" xfId="0" applyFont="1" applyFill="1" applyBorder="1"/>
    <xf numFmtId="0" fontId="43" fillId="2" borderId="1" xfId="0" applyFont="1" applyFill="1" applyBorder="1"/>
    <xf numFmtId="4" fontId="43" fillId="2" borderId="15" xfId="0" applyNumberFormat="1" applyFont="1" applyFill="1" applyBorder="1"/>
    <xf numFmtId="3" fontId="43" fillId="2" borderId="0" xfId="0" applyNumberFormat="1" applyFont="1" applyFill="1"/>
    <xf numFmtId="0" fontId="43" fillId="2" borderId="0" xfId="0" applyFont="1" applyFill="1" applyBorder="1" applyAlignment="1">
      <alignment horizontal="right"/>
    </xf>
    <xf numFmtId="0" fontId="43" fillId="2" borderId="5" xfId="0" applyFont="1" applyFill="1" applyBorder="1"/>
    <xf numFmtId="0" fontId="63" fillId="2" borderId="0" xfId="0" applyFont="1" applyFill="1" applyBorder="1"/>
    <xf numFmtId="0" fontId="42" fillId="2" borderId="0" xfId="0" applyFont="1" applyFill="1" applyBorder="1" applyAlignment="1">
      <alignment horizontal="right"/>
    </xf>
    <xf numFmtId="4" fontId="42" fillId="2" borderId="35" xfId="0" applyNumberFormat="1" applyFont="1" applyFill="1" applyBorder="1" applyAlignment="1">
      <alignment horizontal="center"/>
    </xf>
    <xf numFmtId="4" fontId="42" fillId="2" borderId="36" xfId="0" applyNumberFormat="1" applyFont="1" applyFill="1" applyBorder="1" applyAlignment="1">
      <alignment horizontal="center"/>
    </xf>
    <xf numFmtId="0" fontId="42" fillId="2" borderId="0" xfId="0" applyFont="1" applyFill="1" applyAlignment="1">
      <alignment horizontal="fill" vertical="center"/>
    </xf>
    <xf numFmtId="0" fontId="42" fillId="2" borderId="0" xfId="0" applyFont="1" applyFill="1" applyAlignment="1">
      <alignment horizontal="left" vertical="center"/>
    </xf>
    <xf numFmtId="0" fontId="42" fillId="2" borderId="20" xfId="0" applyFont="1" applyFill="1" applyBorder="1" applyAlignment="1">
      <alignment horizontal="center"/>
    </xf>
    <xf numFmtId="0" fontId="42" fillId="2" borderId="31" xfId="0" applyFont="1" applyFill="1" applyBorder="1"/>
    <xf numFmtId="0" fontId="43" fillId="2" borderId="31" xfId="0" applyFont="1" applyFill="1" applyBorder="1" applyAlignment="1">
      <alignment horizontal="right"/>
    </xf>
    <xf numFmtId="0" fontId="42" fillId="2" borderId="32" xfId="0" applyFont="1" applyFill="1" applyBorder="1"/>
    <xf numFmtId="0" fontId="42" fillId="2" borderId="33" xfId="0" applyFont="1" applyFill="1" applyBorder="1" applyAlignment="1">
      <alignment horizontal="left"/>
    </xf>
    <xf numFmtId="191" fontId="42" fillId="2" borderId="20" xfId="0" applyNumberFormat="1" applyFont="1" applyFill="1" applyBorder="1" applyAlignment="1">
      <alignment horizontal="right"/>
    </xf>
    <xf numFmtId="0" fontId="42" fillId="2" borderId="33" xfId="0" applyFont="1" applyFill="1" applyBorder="1"/>
    <xf numFmtId="4" fontId="42" fillId="2" borderId="12" xfId="0" applyNumberFormat="1" applyFont="1" applyFill="1" applyBorder="1" applyAlignment="1">
      <alignment horizontal="right"/>
    </xf>
    <xf numFmtId="4" fontId="42" fillId="2" borderId="14" xfId="0" applyNumberFormat="1" applyFont="1" applyFill="1" applyBorder="1"/>
    <xf numFmtId="4" fontId="42" fillId="2" borderId="0" xfId="0" applyNumberFormat="1" applyFont="1" applyFill="1" applyBorder="1"/>
    <xf numFmtId="0" fontId="63" fillId="2" borderId="32" xfId="0" applyFont="1" applyFill="1" applyBorder="1"/>
    <xf numFmtId="0" fontId="43" fillId="2" borderId="33" xfId="0" applyFont="1" applyFill="1" applyBorder="1" applyAlignment="1">
      <alignment horizontal="right"/>
    </xf>
    <xf numFmtId="0" fontId="42" fillId="2" borderId="32" xfId="0" applyFont="1" applyFill="1" applyBorder="1" applyAlignment="1">
      <alignment horizontal="right"/>
    </xf>
    <xf numFmtId="4" fontId="42" fillId="2" borderId="20" xfId="0" applyNumberFormat="1" applyFont="1" applyFill="1" applyBorder="1" applyAlignment="1">
      <alignment horizontal="right"/>
    </xf>
    <xf numFmtId="4" fontId="42" fillId="2" borderId="20" xfId="0" applyNumberFormat="1" applyFont="1" applyFill="1" applyBorder="1"/>
    <xf numFmtId="4" fontId="42" fillId="2" borderId="33" xfId="0" applyNumberFormat="1" applyFont="1" applyFill="1" applyBorder="1"/>
    <xf numFmtId="0" fontId="42" fillId="2" borderId="0" xfId="0" applyFont="1" applyFill="1" applyBorder="1" applyAlignment="1">
      <alignment horizontal="center"/>
    </xf>
    <xf numFmtId="0" fontId="42" fillId="2" borderId="0" xfId="0" applyFont="1" applyFill="1" applyBorder="1" applyAlignment="1">
      <alignment horizontal="left"/>
    </xf>
    <xf numFmtId="4" fontId="42" fillId="2" borderId="0" xfId="0" applyNumberFormat="1" applyFont="1" applyFill="1" applyBorder="1" applyAlignment="1">
      <alignment horizontal="right"/>
    </xf>
    <xf numFmtId="4" fontId="43" fillId="2" borderId="0" xfId="0" applyNumberFormat="1" applyFont="1" applyFill="1" applyBorder="1"/>
    <xf numFmtId="0" fontId="42" fillId="2" borderId="0" xfId="0" applyFont="1" applyFill="1" applyBorder="1"/>
    <xf numFmtId="201" fontId="56" fillId="0" borderId="0" xfId="0" applyNumberFormat="1" applyFont="1" applyAlignment="1">
      <alignment horizontal="centerContinuous"/>
    </xf>
    <xf numFmtId="201" fontId="32" fillId="0" borderId="37" xfId="0" applyNumberFormat="1" applyFont="1" applyBorder="1" applyAlignment="1">
      <alignment horizontal="right"/>
    </xf>
    <xf numFmtId="0" fontId="42" fillId="0" borderId="0" xfId="0" applyFont="1" applyAlignment="1">
      <alignment horizontal="center"/>
    </xf>
    <xf numFmtId="0" fontId="42" fillId="0" borderId="0" xfId="12" applyFont="1"/>
    <xf numFmtId="0" fontId="42" fillId="0" borderId="0" xfId="0" applyFont="1" applyBorder="1" applyAlignment="1">
      <alignment vertical="center"/>
    </xf>
    <xf numFmtId="210" fontId="42" fillId="0" borderId="0" xfId="13" applyNumberFormat="1" applyFont="1" applyAlignment="1"/>
    <xf numFmtId="0" fontId="42" fillId="0" borderId="0" xfId="13" applyFont="1"/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3" fontId="42" fillId="0" borderId="0" xfId="0" applyNumberFormat="1" applyFont="1" applyBorder="1" applyAlignment="1">
      <alignment vertical="center"/>
    </xf>
    <xf numFmtId="3" fontId="42" fillId="0" borderId="0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left"/>
    </xf>
    <xf numFmtId="0" fontId="89" fillId="0" borderId="0" xfId="0" applyFont="1"/>
    <xf numFmtId="191" fontId="42" fillId="2" borderId="15" xfId="0" applyNumberFormat="1" applyFont="1" applyFill="1" applyBorder="1" applyAlignment="1">
      <alignment horizontal="right" vertical="center" wrapText="1"/>
    </xf>
    <xf numFmtId="200" fontId="42" fillId="2" borderId="16" xfId="0" applyNumberFormat="1" applyFont="1" applyFill="1" applyBorder="1"/>
    <xf numFmtId="0" fontId="47" fillId="2" borderId="0" xfId="0" applyFont="1" applyFill="1"/>
    <xf numFmtId="0" fontId="47" fillId="2" borderId="17" xfId="0" applyFont="1" applyFill="1" applyBorder="1"/>
    <xf numFmtId="200" fontId="42" fillId="2" borderId="16" xfId="0" applyNumberFormat="1" applyFont="1" applyFill="1" applyBorder="1" applyAlignment="1">
      <alignment horizontal="right"/>
    </xf>
    <xf numFmtId="204" fontId="32" fillId="0" borderId="8" xfId="9" applyNumberFormat="1" applyFont="1" applyBorder="1" applyAlignment="1">
      <alignment horizontal="right"/>
    </xf>
    <xf numFmtId="201" fontId="44" fillId="0" borderId="8" xfId="9" applyNumberFormat="1" applyFont="1" applyBorder="1" applyAlignment="1">
      <alignment horizontal="right"/>
    </xf>
    <xf numFmtId="204" fontId="32" fillId="0" borderId="8" xfId="9" applyNumberFormat="1" applyFont="1" applyBorder="1" applyAlignment="1">
      <alignment horizontal="right" vertical="center"/>
    </xf>
    <xf numFmtId="201" fontId="44" fillId="0" borderId="8" xfId="9" applyNumberFormat="1" applyFont="1" applyBorder="1" applyAlignment="1">
      <alignment horizontal="right" vertical="center"/>
    </xf>
    <xf numFmtId="204" fontId="32" fillId="0" borderId="55" xfId="9" applyNumberFormat="1" applyFont="1" applyBorder="1" applyAlignment="1">
      <alignment horizontal="right" vertical="center"/>
    </xf>
    <xf numFmtId="201" fontId="32" fillId="0" borderId="55" xfId="9" applyNumberFormat="1" applyFont="1" applyBorder="1" applyAlignment="1">
      <alignment horizontal="right" vertical="center"/>
    </xf>
    <xf numFmtId="201" fontId="32" fillId="0" borderId="9" xfId="9" applyNumberFormat="1" applyFont="1" applyBorder="1" applyAlignment="1">
      <alignment horizontal="right" vertical="center"/>
    </xf>
    <xf numFmtId="201" fontId="32" fillId="0" borderId="32" xfId="9" applyNumberFormat="1" applyFont="1" applyBorder="1" applyAlignment="1">
      <alignment horizontal="right" vertical="center"/>
    </xf>
    <xf numFmtId="204" fontId="32" fillId="0" borderId="42" xfId="9" applyNumberFormat="1" applyFont="1" applyBorder="1" applyAlignment="1">
      <alignment horizontal="right" vertical="center"/>
    </xf>
    <xf numFmtId="204" fontId="44" fillId="0" borderId="8" xfId="9" applyNumberFormat="1" applyFont="1" applyBorder="1" applyAlignment="1">
      <alignment horizontal="right" vertical="center"/>
    </xf>
    <xf numFmtId="204" fontId="32" fillId="0" borderId="43" xfId="9" applyNumberFormat="1" applyFont="1" applyBorder="1" applyAlignment="1">
      <alignment horizontal="center"/>
    </xf>
    <xf numFmtId="0" fontId="42" fillId="0" borderId="18" xfId="11" applyFont="1" applyBorder="1"/>
    <xf numFmtId="204" fontId="44" fillId="0" borderId="8" xfId="9" applyNumberFormat="1" applyFont="1" applyBorder="1" applyAlignment="1">
      <alignment horizontal="right"/>
    </xf>
    <xf numFmtId="204" fontId="32" fillId="0" borderId="43" xfId="9" applyNumberFormat="1" applyFont="1" applyBorder="1" applyAlignment="1">
      <alignment horizontal="right"/>
    </xf>
    <xf numFmtId="204" fontId="32" fillId="0" borderId="4" xfId="9" applyNumberFormat="1" applyFont="1" applyBorder="1" applyAlignment="1">
      <alignment horizontal="right" vertical="center"/>
    </xf>
    <xf numFmtId="204" fontId="32" fillId="0" borderId="9" xfId="9" applyNumberFormat="1" applyFont="1" applyBorder="1" applyAlignment="1">
      <alignment horizontal="right" vertical="center"/>
    </xf>
    <xf numFmtId="204" fontId="32" fillId="0" borderId="32" xfId="9" applyNumberFormat="1" applyFont="1" applyBorder="1" applyAlignment="1">
      <alignment horizontal="right" vertical="center"/>
    </xf>
    <xf numFmtId="204" fontId="32" fillId="0" borderId="43" xfId="9" applyNumberFormat="1" applyFont="1" applyBorder="1" applyAlignment="1">
      <alignment horizontal="right" vertical="center"/>
    </xf>
    <xf numFmtId="201" fontId="32" fillId="0" borderId="10" xfId="0" applyNumberFormat="1" applyFont="1" applyBorder="1" applyAlignment="1">
      <alignment horizontal="center" vertical="center"/>
    </xf>
    <xf numFmtId="201" fontId="32" fillId="0" borderId="0" xfId="0" applyNumberFormat="1" applyFont="1" applyAlignment="1">
      <alignment horizontal="center" vertical="center"/>
    </xf>
    <xf numFmtId="204" fontId="32" fillId="0" borderId="0" xfId="0" applyNumberFormat="1" applyFont="1" applyAlignment="1">
      <alignment horizontal="center" vertical="center"/>
    </xf>
    <xf numFmtId="201" fontId="42" fillId="0" borderId="6" xfId="0" applyNumberFormat="1" applyFont="1" applyBorder="1" applyAlignment="1">
      <alignment horizontal="right"/>
    </xf>
    <xf numFmtId="201" fontId="42" fillId="0" borderId="11" xfId="0" applyNumberFormat="1" applyFont="1" applyBorder="1" applyAlignment="1">
      <alignment horizontal="right"/>
    </xf>
    <xf numFmtId="201" fontId="42" fillId="0" borderId="7" xfId="0" applyNumberFormat="1" applyFont="1" applyBorder="1" applyAlignment="1">
      <alignment horizontal="right"/>
    </xf>
    <xf numFmtId="201" fontId="42" fillId="0" borderId="6" xfId="0" applyNumberFormat="1" applyFont="1" applyBorder="1" applyAlignment="1">
      <alignment horizontal="center"/>
    </xf>
    <xf numFmtId="201" fontId="42" fillId="0" borderId="7" xfId="0" applyNumberFormat="1" applyFont="1" applyBorder="1" applyAlignment="1">
      <alignment horizontal="center"/>
    </xf>
    <xf numFmtId="204" fontId="42" fillId="0" borderId="0" xfId="0" applyNumberFormat="1" applyFont="1" applyAlignment="1">
      <alignment horizontal="center"/>
    </xf>
    <xf numFmtId="201" fontId="42" fillId="0" borderId="39" xfId="10" applyNumberFormat="1" applyFont="1" applyBorder="1" applyAlignment="1">
      <alignment horizontal="center"/>
    </xf>
    <xf numFmtId="201" fontId="42" fillId="0" borderId="38" xfId="10" applyNumberFormat="1" applyFont="1" applyBorder="1" applyAlignment="1">
      <alignment horizontal="center"/>
    </xf>
    <xf numFmtId="201" fontId="42" fillId="0" borderId="55" xfId="0" applyNumberFormat="1" applyFont="1" applyBorder="1" applyAlignment="1">
      <alignment horizontal="center"/>
    </xf>
    <xf numFmtId="201" fontId="42" fillId="0" borderId="26" xfId="0" applyNumberFormat="1" applyFont="1" applyBorder="1" applyAlignment="1">
      <alignment horizontal="center"/>
    </xf>
    <xf numFmtId="201" fontId="42" fillId="0" borderId="13" xfId="10" applyNumberFormat="1" applyFont="1" applyBorder="1" applyAlignment="1">
      <alignment horizontal="center" vertical="center"/>
    </xf>
    <xf numFmtId="201" fontId="42" fillId="0" borderId="34" xfId="10" applyNumberFormat="1" applyFont="1" applyBorder="1" applyAlignment="1">
      <alignment horizontal="center" vertical="center"/>
    </xf>
    <xf numFmtId="201" fontId="42" fillId="0" borderId="14" xfId="10" applyNumberFormat="1" applyFont="1" applyBorder="1" applyAlignment="1">
      <alignment horizontal="center" vertical="center"/>
    </xf>
    <xf numFmtId="201" fontId="42" fillId="0" borderId="3" xfId="10" applyNumberFormat="1" applyFont="1" applyBorder="1" applyAlignment="1">
      <alignment horizontal="center" vertical="center"/>
    </xf>
    <xf numFmtId="201" fontId="42" fillId="0" borderId="18" xfId="10" applyNumberFormat="1" applyFont="1" applyBorder="1" applyAlignment="1">
      <alignment horizontal="center" vertical="center"/>
    </xf>
    <xf numFmtId="201" fontId="42" fillId="0" borderId="1" xfId="10" applyNumberFormat="1" applyFont="1" applyBorder="1" applyAlignment="1">
      <alignment horizontal="center" vertical="center"/>
    </xf>
    <xf numFmtId="201" fontId="42" fillId="0" borderId="13" xfId="10" applyNumberFormat="1" applyFont="1" applyBorder="1" applyAlignment="1">
      <alignment horizontal="center"/>
    </xf>
    <xf numFmtId="201" fontId="42" fillId="0" borderId="14" xfId="10" applyNumberFormat="1" applyFont="1" applyBorder="1" applyAlignment="1">
      <alignment horizontal="center"/>
    </xf>
    <xf numFmtId="201" fontId="42" fillId="0" borderId="11" xfId="0" applyNumberFormat="1" applyFont="1" applyBorder="1" applyAlignment="1">
      <alignment horizontal="center"/>
    </xf>
    <xf numFmtId="201" fontId="42" fillId="0" borderId="3" xfId="10" applyNumberFormat="1" applyFont="1" applyBorder="1" applyAlignment="1">
      <alignment horizontal="center"/>
    </xf>
    <xf numFmtId="201" fontId="42" fillId="0" borderId="1" xfId="10" applyNumberFormat="1" applyFont="1" applyBorder="1" applyAlignment="1">
      <alignment horizontal="center"/>
    </xf>
    <xf numFmtId="0" fontId="52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202" fontId="32" fillId="0" borderId="0" xfId="0" applyNumberFormat="1" applyFont="1" applyAlignment="1">
      <alignment horizontal="left"/>
    </xf>
    <xf numFmtId="201" fontId="32" fillId="0" borderId="0" xfId="0" applyNumberFormat="1" applyFont="1" applyAlignment="1">
      <alignment horizontal="center"/>
    </xf>
    <xf numFmtId="201" fontId="32" fillId="0" borderId="11" xfId="10" applyNumberFormat="1" applyFont="1" applyBorder="1" applyAlignment="1">
      <alignment horizontal="center"/>
    </xf>
    <xf numFmtId="201" fontId="32" fillId="0" borderId="7" xfId="10" applyNumberFormat="1" applyFont="1" applyBorder="1" applyAlignment="1">
      <alignment horizontal="center"/>
    </xf>
    <xf numFmtId="201" fontId="42" fillId="0" borderId="0" xfId="0" applyNumberFormat="1" applyFont="1" applyAlignment="1">
      <alignment horizontal="center"/>
    </xf>
    <xf numFmtId="202" fontId="50" fillId="0" borderId="0" xfId="9" applyNumberFormat="1" applyFont="1" applyBorder="1" applyAlignment="1">
      <alignment horizontal="left"/>
    </xf>
    <xf numFmtId="202" fontId="42" fillId="0" borderId="0" xfId="0" applyNumberFormat="1" applyFont="1" applyAlignment="1">
      <alignment horizontal="left"/>
    </xf>
    <xf numFmtId="0" fontId="32" fillId="0" borderId="0" xfId="0" applyFont="1" applyAlignment="1">
      <alignment horizontal="left"/>
    </xf>
    <xf numFmtId="202" fontId="32" fillId="0" borderId="0" xfId="0" applyNumberFormat="1" applyFont="1" applyAlignment="1">
      <alignment horizontal="center"/>
    </xf>
    <xf numFmtId="0" fontId="33" fillId="0" borderId="16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17" xfId="0" applyFont="1" applyBorder="1" applyAlignment="1">
      <alignment horizontal="center"/>
    </xf>
    <xf numFmtId="204" fontId="32" fillId="0" borderId="39" xfId="8" applyNumberFormat="1" applyFont="1" applyFill="1" applyBorder="1" applyAlignment="1">
      <alignment vertical="center"/>
    </xf>
    <xf numFmtId="204" fontId="32" fillId="0" borderId="38" xfId="8" applyNumberFormat="1" applyFont="1" applyFill="1" applyBorder="1" applyAlignment="1">
      <alignment vertical="center"/>
    </xf>
    <xf numFmtId="201" fontId="32" fillId="0" borderId="13" xfId="0" applyNumberFormat="1" applyFont="1" applyBorder="1" applyAlignment="1">
      <alignment horizontal="center"/>
    </xf>
    <xf numFmtId="201" fontId="32" fillId="0" borderId="34" xfId="0" applyNumberFormat="1" applyFont="1" applyBorder="1" applyAlignment="1">
      <alignment horizontal="center"/>
    </xf>
    <xf numFmtId="201" fontId="32" fillId="0" borderId="14" xfId="0" applyNumberFormat="1" applyFont="1" applyBorder="1" applyAlignment="1">
      <alignment horizontal="center"/>
    </xf>
    <xf numFmtId="201" fontId="32" fillId="0" borderId="16" xfId="0" applyNumberFormat="1" applyFont="1" applyBorder="1" applyAlignment="1">
      <alignment horizontal="center"/>
    </xf>
    <xf numFmtId="201" fontId="32" fillId="0" borderId="17" xfId="0" applyNumberFormat="1" applyFont="1" applyBorder="1" applyAlignment="1">
      <alignment horizontal="center"/>
    </xf>
    <xf numFmtId="204" fontId="32" fillId="0" borderId="32" xfId="0" applyNumberFormat="1" applyFont="1" applyBorder="1" applyAlignment="1">
      <alignment vertical="center"/>
    </xf>
    <xf numFmtId="204" fontId="32" fillId="0" borderId="33" xfId="0" applyNumberFormat="1" applyFont="1" applyBorder="1" applyAlignment="1">
      <alignment vertical="center"/>
    </xf>
    <xf numFmtId="204" fontId="32" fillId="0" borderId="6" xfId="8" applyNumberFormat="1" applyFont="1" applyFill="1" applyBorder="1" applyAlignment="1">
      <alignment vertical="center"/>
    </xf>
    <xf numFmtId="204" fontId="32" fillId="0" borderId="7" xfId="8" applyNumberFormat="1" applyFont="1" applyFill="1" applyBorder="1" applyAlignment="1">
      <alignment vertical="center"/>
    </xf>
    <xf numFmtId="0" fontId="42" fillId="0" borderId="0" xfId="0" applyFont="1" applyBorder="1" applyAlignment="1">
      <alignment horizontal="left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vertical="center"/>
    </xf>
    <xf numFmtId="3" fontId="42" fillId="0" borderId="0" xfId="0" applyNumberFormat="1" applyFont="1" applyBorder="1" applyAlignment="1">
      <alignment vertical="center"/>
    </xf>
    <xf numFmtId="0" fontId="32" fillId="0" borderId="18" xfId="11" applyFont="1" applyBorder="1"/>
    <xf numFmtId="0" fontId="32" fillId="0" borderId="1" xfId="11" applyFont="1" applyBorder="1"/>
    <xf numFmtId="3" fontId="42" fillId="0" borderId="0" xfId="0" applyNumberFormat="1" applyFont="1" applyBorder="1" applyAlignment="1">
      <alignment horizontal="center" vertical="center"/>
    </xf>
    <xf numFmtId="3" fontId="42" fillId="0" borderId="0" xfId="0" applyNumberFormat="1" applyFont="1" applyBorder="1" applyAlignment="1">
      <alignment horizontal="left" vertical="center"/>
    </xf>
    <xf numFmtId="201" fontId="32" fillId="0" borderId="22" xfId="10" applyNumberFormat="1" applyFont="1" applyBorder="1" applyAlignment="1">
      <alignment horizontal="left"/>
    </xf>
    <xf numFmtId="201" fontId="32" fillId="0" borderId="44" xfId="10" applyNumberFormat="1" applyFont="1" applyBorder="1" applyAlignment="1">
      <alignment horizontal="left"/>
    </xf>
    <xf numFmtId="201" fontId="32" fillId="0" borderId="23" xfId="10" applyNumberFormat="1" applyFont="1" applyBorder="1" applyAlignment="1">
      <alignment horizontal="left"/>
    </xf>
    <xf numFmtId="201" fontId="32" fillId="0" borderId="9" xfId="10" applyNumberFormat="1" applyFont="1" applyBorder="1" applyAlignment="1">
      <alignment horizontal="left"/>
    </xf>
    <xf numFmtId="201" fontId="32" fillId="0" borderId="4" xfId="10" applyNumberFormat="1" applyFont="1" applyBorder="1" applyAlignment="1">
      <alignment horizontal="left"/>
    </xf>
    <xf numFmtId="201" fontId="32" fillId="0" borderId="10" xfId="10" applyNumberFormat="1" applyFont="1" applyBorder="1" applyAlignment="1">
      <alignment horizontal="left"/>
    </xf>
  </cellXfs>
  <cellStyles count="14">
    <cellStyle name="Comma_ อำนวยการ 1" xfId="1"/>
    <cellStyle name="Normal - Style1" xfId="2"/>
    <cellStyle name="Normal_ อำนวยการ 1" xfId="3"/>
    <cellStyle name="Normal_FACTOR F" xfId="4"/>
    <cellStyle name="Normal_Sheet1 (2)" xfId="5"/>
    <cellStyle name="Normal_Sheet3" xfId="6"/>
    <cellStyle name="Normal_ดอกเบี้ย,กำไร" xfId="7"/>
    <cellStyle name="เครื่องหมายจุลภาค" xfId="8" builtinId="3"/>
    <cellStyle name="เครื่องหมายจุลภาค_ระบบประปาหมู่บ้านแบบผิวดินขนาดใหญ่(ปร.5-6)" xfId="9"/>
    <cellStyle name="ปกติ" xfId="0" builtinId="0"/>
    <cellStyle name="ปกติ_10-ประจวบ-หัวหิน-1(อนนุสรณ)" xfId="11"/>
    <cellStyle name="ปกติ_Sheet2" xfId="12"/>
    <cellStyle name="ปกติ_ค่า Fบางนา" xfId="13"/>
    <cellStyle name="ปกติ_ระบบประปาหมู่บ้านแบบผิวดินขนาดใหญ่(ปร.5-6)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395</xdr:row>
      <xdr:rowOff>19050</xdr:rowOff>
    </xdr:from>
    <xdr:to>
      <xdr:col>1</xdr:col>
      <xdr:colOff>9525</xdr:colOff>
      <xdr:row>395</xdr:row>
      <xdr:rowOff>257175</xdr:rowOff>
    </xdr:to>
    <xdr:sp macro="" textlink="">
      <xdr:nvSpPr>
        <xdr:cNvPr id="36264" name="Line 1">
          <a:extLst>
            <a:ext uri="{FF2B5EF4-FFF2-40B4-BE49-F238E27FC236}">
              <a16:creationId xmlns="" xmlns:a16="http://schemas.microsoft.com/office/drawing/2014/main" id="{00000000-0008-0000-0500-0000A88D0000}"/>
            </a:ext>
          </a:extLst>
        </xdr:cNvPr>
        <xdr:cNvSpPr>
          <a:spLocks noChangeShapeType="1"/>
        </xdr:cNvSpPr>
      </xdr:nvSpPr>
      <xdr:spPr bwMode="auto">
        <a:xfrm>
          <a:off x="171450" y="1098137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395</xdr:row>
      <xdr:rowOff>19050</xdr:rowOff>
    </xdr:from>
    <xdr:to>
      <xdr:col>17</xdr:col>
      <xdr:colOff>0</xdr:colOff>
      <xdr:row>395</xdr:row>
      <xdr:rowOff>257175</xdr:rowOff>
    </xdr:to>
    <xdr:sp macro="" textlink="">
      <xdr:nvSpPr>
        <xdr:cNvPr id="36265" name="Line 2">
          <a:extLst>
            <a:ext uri="{FF2B5EF4-FFF2-40B4-BE49-F238E27FC236}">
              <a16:creationId xmlns="" xmlns:a16="http://schemas.microsoft.com/office/drawing/2014/main" id="{00000000-0008-0000-0500-0000A98D0000}"/>
            </a:ext>
          </a:extLst>
        </xdr:cNvPr>
        <xdr:cNvSpPr>
          <a:spLocks noChangeShapeType="1"/>
        </xdr:cNvSpPr>
      </xdr:nvSpPr>
      <xdr:spPr bwMode="auto">
        <a:xfrm>
          <a:off x="5667375" y="1098137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200025</xdr:colOff>
      <xdr:row>396</xdr:row>
      <xdr:rowOff>0</xdr:rowOff>
    </xdr:from>
    <xdr:to>
      <xdr:col>18</xdr:col>
      <xdr:colOff>133350</xdr:colOff>
      <xdr:row>396</xdr:row>
      <xdr:rowOff>0</xdr:rowOff>
    </xdr:to>
    <xdr:sp macro="" textlink="">
      <xdr:nvSpPr>
        <xdr:cNvPr id="36266" name="Line 3">
          <a:extLst>
            <a:ext uri="{FF2B5EF4-FFF2-40B4-BE49-F238E27FC236}">
              <a16:creationId xmlns="" xmlns:a16="http://schemas.microsoft.com/office/drawing/2014/main" id="{00000000-0008-0000-0500-0000AA8D0000}"/>
            </a:ext>
          </a:extLst>
        </xdr:cNvPr>
        <xdr:cNvSpPr>
          <a:spLocks noChangeShapeType="1"/>
        </xdr:cNvSpPr>
      </xdr:nvSpPr>
      <xdr:spPr bwMode="auto">
        <a:xfrm flipH="1">
          <a:off x="5867400" y="110109000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228600</xdr:colOff>
      <xdr:row>401</xdr:row>
      <xdr:rowOff>0</xdr:rowOff>
    </xdr:from>
    <xdr:to>
      <xdr:col>19</xdr:col>
      <xdr:colOff>0</xdr:colOff>
      <xdr:row>401</xdr:row>
      <xdr:rowOff>0</xdr:rowOff>
    </xdr:to>
    <xdr:sp macro="" textlink="">
      <xdr:nvSpPr>
        <xdr:cNvPr id="36267" name="Line 4">
          <a:extLst>
            <a:ext uri="{FF2B5EF4-FFF2-40B4-BE49-F238E27FC236}">
              <a16:creationId xmlns="" xmlns:a16="http://schemas.microsoft.com/office/drawing/2014/main" id="{00000000-0008-0000-0500-0000AB8D0000}"/>
            </a:ext>
          </a:extLst>
        </xdr:cNvPr>
        <xdr:cNvSpPr>
          <a:spLocks noChangeShapeType="1"/>
        </xdr:cNvSpPr>
      </xdr:nvSpPr>
      <xdr:spPr bwMode="auto">
        <a:xfrm flipH="1">
          <a:off x="5895975" y="111594900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57150</xdr:colOff>
      <xdr:row>396</xdr:row>
      <xdr:rowOff>19050</xdr:rowOff>
    </xdr:from>
    <xdr:to>
      <xdr:col>18</xdr:col>
      <xdr:colOff>57150</xdr:colOff>
      <xdr:row>396</xdr:row>
      <xdr:rowOff>304800</xdr:rowOff>
    </xdr:to>
    <xdr:sp macro="" textlink="">
      <xdr:nvSpPr>
        <xdr:cNvPr id="36268" name="Line 5">
          <a:extLst>
            <a:ext uri="{FF2B5EF4-FFF2-40B4-BE49-F238E27FC236}">
              <a16:creationId xmlns="" xmlns:a16="http://schemas.microsoft.com/office/drawing/2014/main" id="{00000000-0008-0000-0500-0000AC8D0000}"/>
            </a:ext>
          </a:extLst>
        </xdr:cNvPr>
        <xdr:cNvSpPr>
          <a:spLocks noChangeShapeType="1"/>
        </xdr:cNvSpPr>
      </xdr:nvSpPr>
      <xdr:spPr bwMode="auto">
        <a:xfrm flipV="1">
          <a:off x="5972175" y="110128050"/>
          <a:ext cx="0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18</xdr:col>
      <xdr:colOff>57150</xdr:colOff>
      <xdr:row>399</xdr:row>
      <xdr:rowOff>161925</xdr:rowOff>
    </xdr:from>
    <xdr:to>
      <xdr:col>18</xdr:col>
      <xdr:colOff>57150</xdr:colOff>
      <xdr:row>400</xdr:row>
      <xdr:rowOff>285750</xdr:rowOff>
    </xdr:to>
    <xdr:sp macro="" textlink="">
      <xdr:nvSpPr>
        <xdr:cNvPr id="36269" name="Line 6">
          <a:extLst>
            <a:ext uri="{FF2B5EF4-FFF2-40B4-BE49-F238E27FC236}">
              <a16:creationId xmlns="" xmlns:a16="http://schemas.microsoft.com/office/drawing/2014/main" id="{00000000-0008-0000-0500-0000AD8D0000}"/>
            </a:ext>
          </a:extLst>
        </xdr:cNvPr>
        <xdr:cNvSpPr>
          <a:spLocks noChangeShapeType="1"/>
        </xdr:cNvSpPr>
      </xdr:nvSpPr>
      <xdr:spPr bwMode="auto">
        <a:xfrm>
          <a:off x="5972175" y="111204375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28575</xdr:colOff>
      <xdr:row>395</xdr:row>
      <xdr:rowOff>171450</xdr:rowOff>
    </xdr:from>
    <xdr:to>
      <xdr:col>6</xdr:col>
      <xdr:colOff>180975</xdr:colOff>
      <xdr:row>395</xdr:row>
      <xdr:rowOff>171450</xdr:rowOff>
    </xdr:to>
    <xdr:sp macro="" textlink="">
      <xdr:nvSpPr>
        <xdr:cNvPr id="36270" name="Line 7">
          <a:extLst>
            <a:ext uri="{FF2B5EF4-FFF2-40B4-BE49-F238E27FC236}">
              <a16:creationId xmlns="" xmlns:a16="http://schemas.microsoft.com/office/drawing/2014/main" id="{00000000-0008-0000-0500-0000AE8D0000}"/>
            </a:ext>
          </a:extLst>
        </xdr:cNvPr>
        <xdr:cNvSpPr>
          <a:spLocks noChangeShapeType="1"/>
        </xdr:cNvSpPr>
      </xdr:nvSpPr>
      <xdr:spPr bwMode="auto">
        <a:xfrm flipH="1">
          <a:off x="190500" y="109966125"/>
          <a:ext cx="2028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395</xdr:row>
      <xdr:rowOff>171450</xdr:rowOff>
    </xdr:from>
    <xdr:to>
      <xdr:col>16</xdr:col>
      <xdr:colOff>657225</xdr:colOff>
      <xdr:row>395</xdr:row>
      <xdr:rowOff>171450</xdr:rowOff>
    </xdr:to>
    <xdr:sp macro="" textlink="">
      <xdr:nvSpPr>
        <xdr:cNvPr id="36271" name="Line 8">
          <a:extLst>
            <a:ext uri="{FF2B5EF4-FFF2-40B4-BE49-F238E27FC236}">
              <a16:creationId xmlns="" xmlns:a16="http://schemas.microsoft.com/office/drawing/2014/main" id="{00000000-0008-0000-0500-0000AF8D0000}"/>
            </a:ext>
          </a:extLst>
        </xdr:cNvPr>
        <xdr:cNvSpPr>
          <a:spLocks noChangeShapeType="1"/>
        </xdr:cNvSpPr>
      </xdr:nvSpPr>
      <xdr:spPr bwMode="auto">
        <a:xfrm>
          <a:off x="3086100" y="10996612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28575</xdr:colOff>
      <xdr:row>124</xdr:row>
      <xdr:rowOff>161925</xdr:rowOff>
    </xdr:from>
    <xdr:to>
      <xdr:col>1</xdr:col>
      <xdr:colOff>104775</xdr:colOff>
      <xdr:row>124</xdr:row>
      <xdr:rowOff>161925</xdr:rowOff>
    </xdr:to>
    <xdr:sp macro="" textlink="">
      <xdr:nvSpPr>
        <xdr:cNvPr id="36272" name="Line 9">
          <a:extLst>
            <a:ext uri="{FF2B5EF4-FFF2-40B4-BE49-F238E27FC236}">
              <a16:creationId xmlns="" xmlns:a16="http://schemas.microsoft.com/office/drawing/2014/main" id="{00000000-0008-0000-0500-0000B08D0000}"/>
            </a:ext>
          </a:extLst>
        </xdr:cNvPr>
        <xdr:cNvSpPr>
          <a:spLocks noChangeShapeType="1"/>
        </xdr:cNvSpPr>
      </xdr:nvSpPr>
      <xdr:spPr bwMode="auto">
        <a:xfrm>
          <a:off x="28575" y="348615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138</xdr:row>
      <xdr:rowOff>0</xdr:rowOff>
    </xdr:from>
    <xdr:to>
      <xdr:col>1</xdr:col>
      <xdr:colOff>152400</xdr:colOff>
      <xdr:row>138</xdr:row>
      <xdr:rowOff>0</xdr:rowOff>
    </xdr:to>
    <xdr:sp macro="" textlink="">
      <xdr:nvSpPr>
        <xdr:cNvPr id="36273" name="Line 10">
          <a:extLst>
            <a:ext uri="{FF2B5EF4-FFF2-40B4-BE49-F238E27FC236}">
              <a16:creationId xmlns="" xmlns:a16="http://schemas.microsoft.com/office/drawing/2014/main" id="{00000000-0008-0000-0500-0000B18D0000}"/>
            </a:ext>
          </a:extLst>
        </xdr:cNvPr>
        <xdr:cNvSpPr>
          <a:spLocks noChangeShapeType="1"/>
        </xdr:cNvSpPr>
      </xdr:nvSpPr>
      <xdr:spPr bwMode="auto">
        <a:xfrm>
          <a:off x="38100" y="38566725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130</xdr:row>
      <xdr:rowOff>9525</xdr:rowOff>
    </xdr:from>
    <xdr:to>
      <xdr:col>0</xdr:col>
      <xdr:colOff>142875</xdr:colOff>
      <xdr:row>137</xdr:row>
      <xdr:rowOff>304800</xdr:rowOff>
    </xdr:to>
    <xdr:sp macro="" textlink="">
      <xdr:nvSpPr>
        <xdr:cNvPr id="36274" name="Line 11">
          <a:extLst>
            <a:ext uri="{FF2B5EF4-FFF2-40B4-BE49-F238E27FC236}">
              <a16:creationId xmlns="" xmlns:a16="http://schemas.microsoft.com/office/drawing/2014/main" id="{00000000-0008-0000-0500-0000B28D0000}"/>
            </a:ext>
          </a:extLst>
        </xdr:cNvPr>
        <xdr:cNvSpPr>
          <a:spLocks noChangeShapeType="1"/>
        </xdr:cNvSpPr>
      </xdr:nvSpPr>
      <xdr:spPr bwMode="auto">
        <a:xfrm>
          <a:off x="142875" y="36490275"/>
          <a:ext cx="0" cy="2066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142875</xdr:colOff>
      <xdr:row>124</xdr:row>
      <xdr:rowOff>161925</xdr:rowOff>
    </xdr:from>
    <xdr:to>
      <xdr:col>0</xdr:col>
      <xdr:colOff>142875</xdr:colOff>
      <xdr:row>129</xdr:row>
      <xdr:rowOff>76200</xdr:rowOff>
    </xdr:to>
    <xdr:sp macro="" textlink="">
      <xdr:nvSpPr>
        <xdr:cNvPr id="36275" name="Line 12">
          <a:extLst>
            <a:ext uri="{FF2B5EF4-FFF2-40B4-BE49-F238E27FC236}">
              <a16:creationId xmlns="" xmlns:a16="http://schemas.microsoft.com/office/drawing/2014/main" id="{00000000-0008-0000-0500-0000B38D0000}"/>
            </a:ext>
          </a:extLst>
        </xdr:cNvPr>
        <xdr:cNvSpPr>
          <a:spLocks noChangeShapeType="1"/>
        </xdr:cNvSpPr>
      </xdr:nvSpPr>
      <xdr:spPr bwMode="auto">
        <a:xfrm flipV="1">
          <a:off x="142875" y="34861500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161925</xdr:colOff>
      <xdr:row>138</xdr:row>
      <xdr:rowOff>38100</xdr:rowOff>
    </xdr:from>
    <xdr:to>
      <xdr:col>1</xdr:col>
      <xdr:colOff>161925</xdr:colOff>
      <xdr:row>138</xdr:row>
      <xdr:rowOff>285750</xdr:rowOff>
    </xdr:to>
    <xdr:sp macro="" textlink="">
      <xdr:nvSpPr>
        <xdr:cNvPr id="36276" name="Line 13">
          <a:extLst>
            <a:ext uri="{FF2B5EF4-FFF2-40B4-BE49-F238E27FC236}">
              <a16:creationId xmlns="" xmlns:a16="http://schemas.microsoft.com/office/drawing/2014/main" id="{00000000-0008-0000-0500-0000B48D0000}"/>
            </a:ext>
          </a:extLst>
        </xdr:cNvPr>
        <xdr:cNvSpPr>
          <a:spLocks noChangeShapeType="1"/>
        </xdr:cNvSpPr>
      </xdr:nvSpPr>
      <xdr:spPr bwMode="auto">
        <a:xfrm>
          <a:off x="323850" y="3860482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66675</xdr:colOff>
      <xdr:row>138</xdr:row>
      <xdr:rowOff>66675</xdr:rowOff>
    </xdr:from>
    <xdr:to>
      <xdr:col>19</xdr:col>
      <xdr:colOff>66675</xdr:colOff>
      <xdr:row>138</xdr:row>
      <xdr:rowOff>295275</xdr:rowOff>
    </xdr:to>
    <xdr:sp macro="" textlink="">
      <xdr:nvSpPr>
        <xdr:cNvPr id="36277" name="Line 14">
          <a:extLst>
            <a:ext uri="{FF2B5EF4-FFF2-40B4-BE49-F238E27FC236}">
              <a16:creationId xmlns="" xmlns:a16="http://schemas.microsoft.com/office/drawing/2014/main" id="{00000000-0008-0000-0500-0000B58D0000}"/>
            </a:ext>
          </a:extLst>
        </xdr:cNvPr>
        <xdr:cNvSpPr>
          <a:spLocks noChangeShapeType="1"/>
        </xdr:cNvSpPr>
      </xdr:nvSpPr>
      <xdr:spPr bwMode="auto">
        <a:xfrm>
          <a:off x="6143625" y="386334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266700</xdr:colOff>
      <xdr:row>138</xdr:row>
      <xdr:rowOff>180975</xdr:rowOff>
    </xdr:from>
    <xdr:to>
      <xdr:col>19</xdr:col>
      <xdr:colOff>66675</xdr:colOff>
      <xdr:row>138</xdr:row>
      <xdr:rowOff>180975</xdr:rowOff>
    </xdr:to>
    <xdr:sp macro="" textlink="">
      <xdr:nvSpPr>
        <xdr:cNvPr id="36278" name="Line 15">
          <a:extLst>
            <a:ext uri="{FF2B5EF4-FFF2-40B4-BE49-F238E27FC236}">
              <a16:creationId xmlns="" xmlns:a16="http://schemas.microsoft.com/office/drawing/2014/main" id="{00000000-0008-0000-0500-0000B68D0000}"/>
            </a:ext>
          </a:extLst>
        </xdr:cNvPr>
        <xdr:cNvSpPr>
          <a:spLocks noChangeShapeType="1"/>
        </xdr:cNvSpPr>
      </xdr:nvSpPr>
      <xdr:spPr bwMode="auto">
        <a:xfrm>
          <a:off x="3695700" y="38747700"/>
          <a:ext cx="2447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200025</xdr:colOff>
      <xdr:row>138</xdr:row>
      <xdr:rowOff>180975</xdr:rowOff>
    </xdr:from>
    <xdr:to>
      <xdr:col>10</xdr:col>
      <xdr:colOff>0</xdr:colOff>
      <xdr:row>138</xdr:row>
      <xdr:rowOff>180975</xdr:rowOff>
    </xdr:to>
    <xdr:sp macro="" textlink="">
      <xdr:nvSpPr>
        <xdr:cNvPr id="36279" name="Line 16">
          <a:extLst>
            <a:ext uri="{FF2B5EF4-FFF2-40B4-BE49-F238E27FC236}">
              <a16:creationId xmlns="" xmlns:a16="http://schemas.microsoft.com/office/drawing/2014/main" id="{00000000-0008-0000-0500-0000B78D0000}"/>
            </a:ext>
          </a:extLst>
        </xdr:cNvPr>
        <xdr:cNvSpPr>
          <a:spLocks noChangeShapeType="1"/>
        </xdr:cNvSpPr>
      </xdr:nvSpPr>
      <xdr:spPr bwMode="auto">
        <a:xfrm flipH="1">
          <a:off x="361950" y="387477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38100</xdr:colOff>
      <xdr:row>803</xdr:row>
      <xdr:rowOff>0</xdr:rowOff>
    </xdr:from>
    <xdr:to>
      <xdr:col>2</xdr:col>
      <xdr:colOff>38100</xdr:colOff>
      <xdr:row>803</xdr:row>
      <xdr:rowOff>0</xdr:rowOff>
    </xdr:to>
    <xdr:sp macro="" textlink="">
      <xdr:nvSpPr>
        <xdr:cNvPr id="36280" name="Line 17">
          <a:extLst>
            <a:ext uri="{FF2B5EF4-FFF2-40B4-BE49-F238E27FC236}">
              <a16:creationId xmlns="" xmlns:a16="http://schemas.microsoft.com/office/drawing/2014/main" id="{00000000-0008-0000-0500-0000B88D0000}"/>
            </a:ext>
          </a:extLst>
        </xdr:cNvPr>
        <xdr:cNvSpPr>
          <a:spLocks noChangeShapeType="1"/>
        </xdr:cNvSpPr>
      </xdr:nvSpPr>
      <xdr:spPr bwMode="auto">
        <a:xfrm>
          <a:off x="590550" y="22206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571500</xdr:colOff>
      <xdr:row>803</xdr:row>
      <xdr:rowOff>0</xdr:rowOff>
    </xdr:from>
    <xdr:to>
      <xdr:col>4</xdr:col>
      <xdr:colOff>266700</xdr:colOff>
      <xdr:row>803</xdr:row>
      <xdr:rowOff>0</xdr:rowOff>
    </xdr:to>
    <xdr:sp macro="" textlink="">
      <xdr:nvSpPr>
        <xdr:cNvPr id="36281" name="Line 18">
          <a:extLst>
            <a:ext uri="{FF2B5EF4-FFF2-40B4-BE49-F238E27FC236}">
              <a16:creationId xmlns="" xmlns:a16="http://schemas.microsoft.com/office/drawing/2014/main" id="{00000000-0008-0000-0500-0000B98D0000}"/>
            </a:ext>
          </a:extLst>
        </xdr:cNvPr>
        <xdr:cNvSpPr>
          <a:spLocks noChangeShapeType="1"/>
        </xdr:cNvSpPr>
      </xdr:nvSpPr>
      <xdr:spPr bwMode="auto">
        <a:xfrm>
          <a:off x="1685925" y="22206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161925</xdr:colOff>
      <xdr:row>124</xdr:row>
      <xdr:rowOff>152400</xdr:rowOff>
    </xdr:from>
    <xdr:to>
      <xdr:col>1</xdr:col>
      <xdr:colOff>161925</xdr:colOff>
      <xdr:row>138</xdr:row>
      <xdr:rowOff>9525</xdr:rowOff>
    </xdr:to>
    <xdr:sp macro="" textlink="">
      <xdr:nvSpPr>
        <xdr:cNvPr id="36282" name="Line 58">
          <a:extLst>
            <a:ext uri="{FF2B5EF4-FFF2-40B4-BE49-F238E27FC236}">
              <a16:creationId xmlns="" xmlns:a16="http://schemas.microsoft.com/office/drawing/2014/main" id="{00000000-0008-0000-0500-0000BA8D0000}"/>
            </a:ext>
          </a:extLst>
        </xdr:cNvPr>
        <xdr:cNvSpPr>
          <a:spLocks noChangeShapeType="1"/>
        </xdr:cNvSpPr>
      </xdr:nvSpPr>
      <xdr:spPr bwMode="auto">
        <a:xfrm>
          <a:off x="323850" y="34851975"/>
          <a:ext cx="0" cy="3724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161925</xdr:colOff>
      <xdr:row>124</xdr:row>
      <xdr:rowOff>161925</xdr:rowOff>
    </xdr:from>
    <xdr:to>
      <xdr:col>19</xdr:col>
      <xdr:colOff>85725</xdr:colOff>
      <xdr:row>124</xdr:row>
      <xdr:rowOff>161925</xdr:rowOff>
    </xdr:to>
    <xdr:sp macro="" textlink="">
      <xdr:nvSpPr>
        <xdr:cNvPr id="36283" name="Line 59">
          <a:extLst>
            <a:ext uri="{FF2B5EF4-FFF2-40B4-BE49-F238E27FC236}">
              <a16:creationId xmlns="" xmlns:a16="http://schemas.microsoft.com/office/drawing/2014/main" id="{00000000-0008-0000-0500-0000BB8D0000}"/>
            </a:ext>
          </a:extLst>
        </xdr:cNvPr>
        <xdr:cNvSpPr>
          <a:spLocks noChangeShapeType="1"/>
        </xdr:cNvSpPr>
      </xdr:nvSpPr>
      <xdr:spPr bwMode="auto">
        <a:xfrm>
          <a:off x="323850" y="34861500"/>
          <a:ext cx="5838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76200</xdr:colOff>
      <xdr:row>124</xdr:row>
      <xdr:rowOff>161925</xdr:rowOff>
    </xdr:from>
    <xdr:to>
      <xdr:col>19</xdr:col>
      <xdr:colOff>76200</xdr:colOff>
      <xdr:row>138</xdr:row>
      <xdr:rowOff>0</xdr:rowOff>
    </xdr:to>
    <xdr:sp macro="" textlink="">
      <xdr:nvSpPr>
        <xdr:cNvPr id="36284" name="Line 60">
          <a:extLst>
            <a:ext uri="{FF2B5EF4-FFF2-40B4-BE49-F238E27FC236}">
              <a16:creationId xmlns="" xmlns:a16="http://schemas.microsoft.com/office/drawing/2014/main" id="{00000000-0008-0000-0500-0000BC8D0000}"/>
            </a:ext>
          </a:extLst>
        </xdr:cNvPr>
        <xdr:cNvSpPr>
          <a:spLocks noChangeShapeType="1"/>
        </xdr:cNvSpPr>
      </xdr:nvSpPr>
      <xdr:spPr bwMode="auto">
        <a:xfrm>
          <a:off x="6153150" y="34861500"/>
          <a:ext cx="0" cy="3705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161925</xdr:colOff>
      <xdr:row>138</xdr:row>
      <xdr:rowOff>0</xdr:rowOff>
    </xdr:from>
    <xdr:to>
      <xdr:col>19</xdr:col>
      <xdr:colOff>76200</xdr:colOff>
      <xdr:row>138</xdr:row>
      <xdr:rowOff>0</xdr:rowOff>
    </xdr:to>
    <xdr:sp macro="" textlink="">
      <xdr:nvSpPr>
        <xdr:cNvPr id="36285" name="Line 61">
          <a:extLst>
            <a:ext uri="{FF2B5EF4-FFF2-40B4-BE49-F238E27FC236}">
              <a16:creationId xmlns="" xmlns:a16="http://schemas.microsoft.com/office/drawing/2014/main" id="{00000000-0008-0000-0500-0000BD8D0000}"/>
            </a:ext>
          </a:extLst>
        </xdr:cNvPr>
        <xdr:cNvSpPr>
          <a:spLocks noChangeShapeType="1"/>
        </xdr:cNvSpPr>
      </xdr:nvSpPr>
      <xdr:spPr bwMode="auto">
        <a:xfrm>
          <a:off x="323850" y="3856672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</xdr:colOff>
      <xdr:row>540</xdr:row>
      <xdr:rowOff>200025</xdr:rowOff>
    </xdr:from>
    <xdr:to>
      <xdr:col>10</xdr:col>
      <xdr:colOff>209550</xdr:colOff>
      <xdr:row>552</xdr:row>
      <xdr:rowOff>285750</xdr:rowOff>
    </xdr:to>
    <xdr:pic>
      <xdr:nvPicPr>
        <xdr:cNvPr id="17472" name="Picture 64">
          <a:extLst>
            <a:ext uri="{FF2B5EF4-FFF2-40B4-BE49-F238E27FC236}">
              <a16:creationId xmlns="" xmlns:a16="http://schemas.microsoft.com/office/drawing/2014/main" id="{00000000-0008-0000-0500-000040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160762950"/>
          <a:ext cx="2714625" cy="384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2</xdr:col>
      <xdr:colOff>19050</xdr:colOff>
      <xdr:row>556</xdr:row>
      <xdr:rowOff>9525</xdr:rowOff>
    </xdr:from>
    <xdr:to>
      <xdr:col>10</xdr:col>
      <xdr:colOff>276225</xdr:colOff>
      <xdr:row>567</xdr:row>
      <xdr:rowOff>247650</xdr:rowOff>
    </xdr:to>
    <xdr:pic>
      <xdr:nvPicPr>
        <xdr:cNvPr id="36287" name="Picture 65">
          <a:extLst>
            <a:ext uri="{FF2B5EF4-FFF2-40B4-BE49-F238E27FC236}">
              <a16:creationId xmlns="" xmlns:a16="http://schemas.microsoft.com/office/drawing/2014/main" id="{00000000-0008-0000-0500-0000B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0" y="154171650"/>
          <a:ext cx="2790825" cy="327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95250</xdr:colOff>
      <xdr:row>125</xdr:row>
      <xdr:rowOff>57150</xdr:rowOff>
    </xdr:from>
    <xdr:to>
      <xdr:col>4</xdr:col>
      <xdr:colOff>133350</xdr:colOff>
      <xdr:row>127</xdr:row>
      <xdr:rowOff>247650</xdr:rowOff>
    </xdr:to>
    <xdr:sp macro="" textlink="">
      <xdr:nvSpPr>
        <xdr:cNvPr id="17697" name="Oval 289">
          <a:extLst>
            <a:ext uri="{FF2B5EF4-FFF2-40B4-BE49-F238E27FC236}">
              <a16:creationId xmlns="" xmlns:a16="http://schemas.microsoft.com/office/drawing/2014/main" id="{00000000-0008-0000-0500-000021450000}"/>
            </a:ext>
          </a:extLst>
        </xdr:cNvPr>
        <xdr:cNvSpPr>
          <a:spLocks noChangeArrowheads="1"/>
        </xdr:cNvSpPr>
      </xdr:nvSpPr>
      <xdr:spPr bwMode="auto">
        <a:xfrm>
          <a:off x="571500" y="40376475"/>
          <a:ext cx="828675" cy="828675"/>
        </a:xfrm>
        <a:prstGeom prst="ellipse">
          <a:avLst/>
        </a:prstGeom>
        <a:solidFill>
          <a:srgbClr val="E3E3E3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UPC"/>
              <a:cs typeface="CordiaUPC"/>
            </a:rPr>
            <a:t>ตรา อบต.</a:t>
          </a:r>
        </a:p>
      </xdr:txBody>
    </xdr:sp>
    <xdr:clientData/>
  </xdr:twoCellAnchor>
  <xdr:twoCellAnchor>
    <xdr:from>
      <xdr:col>3</xdr:col>
      <xdr:colOff>19050</xdr:colOff>
      <xdr:row>558</xdr:row>
      <xdr:rowOff>47625</xdr:rowOff>
    </xdr:from>
    <xdr:to>
      <xdr:col>3</xdr:col>
      <xdr:colOff>228600</xdr:colOff>
      <xdr:row>559</xdr:row>
      <xdr:rowOff>104775</xdr:rowOff>
    </xdr:to>
    <xdr:sp macro="" textlink="">
      <xdr:nvSpPr>
        <xdr:cNvPr id="28" name="Oval 81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 bwMode="auto">
        <a:xfrm>
          <a:off x="981075" y="1659445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๑</a:t>
          </a:r>
        </a:p>
      </xdr:txBody>
    </xdr:sp>
    <xdr:clientData/>
  </xdr:twoCellAnchor>
  <xdr:twoCellAnchor>
    <xdr:from>
      <xdr:col>3</xdr:col>
      <xdr:colOff>304800</xdr:colOff>
      <xdr:row>541</xdr:row>
      <xdr:rowOff>95250</xdr:rowOff>
    </xdr:from>
    <xdr:to>
      <xdr:col>4</xdr:col>
      <xdr:colOff>114300</xdr:colOff>
      <xdr:row>542</xdr:row>
      <xdr:rowOff>152400</xdr:rowOff>
    </xdr:to>
    <xdr:sp macro="" textlink="">
      <xdr:nvSpPr>
        <xdr:cNvPr id="29" name="Oval 81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 bwMode="auto">
        <a:xfrm>
          <a:off x="1266825" y="16096297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๑</a:t>
          </a:r>
        </a:p>
      </xdr:txBody>
    </xdr:sp>
    <xdr:clientData/>
  </xdr:twoCellAnchor>
  <xdr:twoCellAnchor>
    <xdr:from>
      <xdr:col>5</xdr:col>
      <xdr:colOff>219075</xdr:colOff>
      <xdr:row>556</xdr:row>
      <xdr:rowOff>190500</xdr:rowOff>
    </xdr:from>
    <xdr:to>
      <xdr:col>6</xdr:col>
      <xdr:colOff>76200</xdr:colOff>
      <xdr:row>557</xdr:row>
      <xdr:rowOff>247650</xdr:rowOff>
    </xdr:to>
    <xdr:sp macro="" textlink="">
      <xdr:nvSpPr>
        <xdr:cNvPr id="30" name="Oval 81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1876425" y="16545877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๒</a:t>
          </a:r>
        </a:p>
      </xdr:txBody>
    </xdr:sp>
    <xdr:clientData/>
  </xdr:twoCellAnchor>
  <xdr:twoCellAnchor>
    <xdr:from>
      <xdr:col>7</xdr:col>
      <xdr:colOff>114300</xdr:colOff>
      <xdr:row>541</xdr:row>
      <xdr:rowOff>114300</xdr:rowOff>
    </xdr:from>
    <xdr:to>
      <xdr:col>8</xdr:col>
      <xdr:colOff>76200</xdr:colOff>
      <xdr:row>542</xdr:row>
      <xdr:rowOff>171450</xdr:rowOff>
    </xdr:to>
    <xdr:sp macro="" textlink="">
      <xdr:nvSpPr>
        <xdr:cNvPr id="31" name="Oval 81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2400300" y="16098202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๒</a:t>
          </a:r>
        </a:p>
      </xdr:txBody>
    </xdr:sp>
    <xdr:clientData/>
  </xdr:twoCellAnchor>
  <xdr:twoCellAnchor>
    <xdr:from>
      <xdr:col>3</xdr:col>
      <xdr:colOff>276225</xdr:colOff>
      <xdr:row>545</xdr:row>
      <xdr:rowOff>266700</xdr:rowOff>
    </xdr:from>
    <xdr:to>
      <xdr:col>4</xdr:col>
      <xdr:colOff>85725</xdr:colOff>
      <xdr:row>547</xdr:row>
      <xdr:rowOff>9525</xdr:rowOff>
    </xdr:to>
    <xdr:sp macro="" textlink="">
      <xdr:nvSpPr>
        <xdr:cNvPr id="32" name="Oval 81">
          <a:extLst>
            <a:ext uri="{FF2B5EF4-FFF2-40B4-BE49-F238E27FC236}">
              <a16:creationId xmlns=""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 bwMode="auto">
        <a:xfrm>
          <a:off x="1238250" y="16239172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๓</a:t>
          </a:r>
        </a:p>
      </xdr:txBody>
    </xdr:sp>
    <xdr:clientData/>
  </xdr:twoCellAnchor>
  <xdr:twoCellAnchor>
    <xdr:from>
      <xdr:col>9</xdr:col>
      <xdr:colOff>123825</xdr:colOff>
      <xdr:row>559</xdr:row>
      <xdr:rowOff>0</xdr:rowOff>
    </xdr:from>
    <xdr:to>
      <xdr:col>10</xdr:col>
      <xdr:colOff>57150</xdr:colOff>
      <xdr:row>560</xdr:row>
      <xdr:rowOff>57150</xdr:rowOff>
    </xdr:to>
    <xdr:sp macro="" textlink="">
      <xdr:nvSpPr>
        <xdr:cNvPr id="33" name="Oval 81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905125" y="1662112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๓</a:t>
          </a:r>
        </a:p>
      </xdr:txBody>
    </xdr:sp>
    <xdr:clientData/>
  </xdr:twoCellAnchor>
  <xdr:twoCellAnchor>
    <xdr:from>
      <xdr:col>5</xdr:col>
      <xdr:colOff>152400</xdr:colOff>
      <xdr:row>545</xdr:row>
      <xdr:rowOff>276225</xdr:rowOff>
    </xdr:from>
    <xdr:to>
      <xdr:col>6</xdr:col>
      <xdr:colOff>9525</xdr:colOff>
      <xdr:row>547</xdr:row>
      <xdr:rowOff>19050</xdr:rowOff>
    </xdr:to>
    <xdr:sp macro="" textlink="">
      <xdr:nvSpPr>
        <xdr:cNvPr id="34" name="Oval 81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1809750" y="1624012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๔</a:t>
          </a:r>
        </a:p>
      </xdr:txBody>
    </xdr:sp>
    <xdr:clientData/>
  </xdr:twoCellAnchor>
  <xdr:twoCellAnchor>
    <xdr:from>
      <xdr:col>3</xdr:col>
      <xdr:colOff>38100</xdr:colOff>
      <xdr:row>561</xdr:row>
      <xdr:rowOff>295275</xdr:rowOff>
    </xdr:from>
    <xdr:to>
      <xdr:col>3</xdr:col>
      <xdr:colOff>247650</xdr:colOff>
      <xdr:row>563</xdr:row>
      <xdr:rowOff>38100</xdr:rowOff>
    </xdr:to>
    <xdr:sp macro="" textlink="">
      <xdr:nvSpPr>
        <xdr:cNvPr id="35" name="Oval 81">
          <a:extLst>
            <a:ext uri="{FF2B5EF4-FFF2-40B4-BE49-F238E27FC236}">
              <a16:creationId xmlns=""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 bwMode="auto">
        <a:xfrm>
          <a:off x="1000125" y="16713517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๔</a:t>
          </a:r>
        </a:p>
      </xdr:txBody>
    </xdr:sp>
    <xdr:clientData/>
  </xdr:twoCellAnchor>
  <xdr:twoCellAnchor>
    <xdr:from>
      <xdr:col>8</xdr:col>
      <xdr:colOff>95250</xdr:colOff>
      <xdr:row>545</xdr:row>
      <xdr:rowOff>9525</xdr:rowOff>
    </xdr:from>
    <xdr:to>
      <xdr:col>9</xdr:col>
      <xdr:colOff>57150</xdr:colOff>
      <xdr:row>546</xdr:row>
      <xdr:rowOff>66675</xdr:rowOff>
    </xdr:to>
    <xdr:sp macro="" textlink="">
      <xdr:nvSpPr>
        <xdr:cNvPr id="36" name="Oval 81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2628900" y="1621345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๕</a:t>
          </a:r>
        </a:p>
      </xdr:txBody>
    </xdr:sp>
    <xdr:clientData/>
  </xdr:twoCellAnchor>
  <xdr:twoCellAnchor>
    <xdr:from>
      <xdr:col>5</xdr:col>
      <xdr:colOff>38100</xdr:colOff>
      <xdr:row>563</xdr:row>
      <xdr:rowOff>104775</xdr:rowOff>
    </xdr:from>
    <xdr:to>
      <xdr:col>5</xdr:col>
      <xdr:colOff>247650</xdr:colOff>
      <xdr:row>564</xdr:row>
      <xdr:rowOff>161925</xdr:rowOff>
    </xdr:to>
    <xdr:sp macro="" textlink="">
      <xdr:nvSpPr>
        <xdr:cNvPr id="37" name="Oval 81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1695450" y="16757332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๕</a:t>
          </a:r>
        </a:p>
      </xdr:txBody>
    </xdr:sp>
    <xdr:clientData/>
  </xdr:twoCellAnchor>
  <xdr:twoCellAnchor>
    <xdr:from>
      <xdr:col>7</xdr:col>
      <xdr:colOff>228600</xdr:colOff>
      <xdr:row>556</xdr:row>
      <xdr:rowOff>257175</xdr:rowOff>
    </xdr:from>
    <xdr:to>
      <xdr:col>8</xdr:col>
      <xdr:colOff>190500</xdr:colOff>
      <xdr:row>558</xdr:row>
      <xdr:rowOff>0</xdr:rowOff>
    </xdr:to>
    <xdr:sp macro="" textlink="">
      <xdr:nvSpPr>
        <xdr:cNvPr id="38" name="Oval 81">
          <a:extLst>
            <a:ext uri="{FF2B5EF4-FFF2-40B4-BE49-F238E27FC236}">
              <a16:creationId xmlns=""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 bwMode="auto">
        <a:xfrm>
          <a:off x="2514600" y="1655254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๖</a:t>
          </a:r>
        </a:p>
      </xdr:txBody>
    </xdr:sp>
    <xdr:clientData/>
  </xdr:twoCellAnchor>
  <xdr:twoCellAnchor>
    <xdr:from>
      <xdr:col>5</xdr:col>
      <xdr:colOff>142875</xdr:colOff>
      <xdr:row>550</xdr:row>
      <xdr:rowOff>38100</xdr:rowOff>
    </xdr:from>
    <xdr:to>
      <xdr:col>6</xdr:col>
      <xdr:colOff>0</xdr:colOff>
      <xdr:row>551</xdr:row>
      <xdr:rowOff>95250</xdr:rowOff>
    </xdr:to>
    <xdr:sp macro="" textlink="">
      <xdr:nvSpPr>
        <xdr:cNvPr id="39" name="Oval 81">
          <a:extLst>
            <a:ext uri="{FF2B5EF4-FFF2-40B4-BE49-F238E27FC236}">
              <a16:creationId xmlns=""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 bwMode="auto">
        <a:xfrm>
          <a:off x="1800225" y="1637347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๖</a:t>
          </a:r>
        </a:p>
      </xdr:txBody>
    </xdr:sp>
    <xdr:clientData/>
  </xdr:twoCellAnchor>
  <xdr:twoCellAnchor>
    <xdr:from>
      <xdr:col>8</xdr:col>
      <xdr:colOff>0</xdr:colOff>
      <xdr:row>564</xdr:row>
      <xdr:rowOff>161925</xdr:rowOff>
    </xdr:from>
    <xdr:to>
      <xdr:col>8</xdr:col>
      <xdr:colOff>209550</xdr:colOff>
      <xdr:row>565</xdr:row>
      <xdr:rowOff>219075</xdr:rowOff>
    </xdr:to>
    <xdr:sp macro="" textlink="">
      <xdr:nvSpPr>
        <xdr:cNvPr id="40" name="Oval 81">
          <a:extLst>
            <a:ext uri="{FF2B5EF4-FFF2-40B4-BE49-F238E27FC236}">
              <a16:creationId xmlns=""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 bwMode="auto">
        <a:xfrm>
          <a:off x="2533650" y="16794480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๗</a:t>
          </a:r>
        </a:p>
      </xdr:txBody>
    </xdr:sp>
    <xdr:clientData/>
  </xdr:twoCellAnchor>
  <xdr:twoCellAnchor>
    <xdr:from>
      <xdr:col>7</xdr:col>
      <xdr:colOff>190500</xdr:colOff>
      <xdr:row>547</xdr:row>
      <xdr:rowOff>219075</xdr:rowOff>
    </xdr:from>
    <xdr:to>
      <xdr:col>8</xdr:col>
      <xdr:colOff>152400</xdr:colOff>
      <xdr:row>548</xdr:row>
      <xdr:rowOff>276225</xdr:rowOff>
    </xdr:to>
    <xdr:sp macro="" textlink="">
      <xdr:nvSpPr>
        <xdr:cNvPr id="41" name="Oval 81">
          <a:extLst>
            <a:ext uri="{FF2B5EF4-FFF2-40B4-BE49-F238E27FC236}">
              <a16:creationId xmlns=""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 bwMode="auto">
        <a:xfrm>
          <a:off x="2476500" y="162972750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๗</a:t>
          </a:r>
        </a:p>
      </xdr:txBody>
    </xdr:sp>
    <xdr:clientData/>
  </xdr:twoCellAnchor>
  <xdr:twoCellAnchor>
    <xdr:from>
      <xdr:col>8</xdr:col>
      <xdr:colOff>219075</xdr:colOff>
      <xdr:row>561</xdr:row>
      <xdr:rowOff>219075</xdr:rowOff>
    </xdr:from>
    <xdr:to>
      <xdr:col>9</xdr:col>
      <xdr:colOff>180975</xdr:colOff>
      <xdr:row>562</xdr:row>
      <xdr:rowOff>276225</xdr:rowOff>
    </xdr:to>
    <xdr:sp macro="" textlink="">
      <xdr:nvSpPr>
        <xdr:cNvPr id="42" name="Oval 81"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 bwMode="auto">
        <a:xfrm>
          <a:off x="2752725" y="167058975"/>
          <a:ext cx="209550" cy="3714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/>
              <a:cs typeface="TH SarabunPSK"/>
            </a:rPr>
            <a:t>๘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</xdr:colOff>
          <xdr:row>577</xdr:row>
          <xdr:rowOff>7620</xdr:rowOff>
        </xdr:from>
        <xdr:to>
          <xdr:col>17</xdr:col>
          <xdr:colOff>22860</xdr:colOff>
          <xdr:row>605</xdr:row>
          <xdr:rowOff>114300</xdr:rowOff>
        </xdr:to>
        <xdr:sp macro="" textlink="">
          <xdr:nvSpPr>
            <xdr:cNvPr id="17696" name="Object 288" hidden="1">
              <a:extLst>
                <a:ext uri="{63B3BB69-23CF-44E3-9099-C40C66FF867C}">
                  <a14:compatExt spid="_x0000_s17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492125</xdr:colOff>
      <xdr:row>4</xdr:row>
      <xdr:rowOff>95250</xdr:rowOff>
    </xdr:to>
    <xdr:pic>
      <xdr:nvPicPr>
        <xdr:cNvPr id="2" name="Picture 1" descr="newlogo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0300" y="0"/>
          <a:ext cx="12350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11</xdr:row>
      <xdr:rowOff>169334</xdr:rowOff>
    </xdr:from>
    <xdr:to>
      <xdr:col>7</xdr:col>
      <xdr:colOff>264584</xdr:colOff>
      <xdr:row>15</xdr:row>
      <xdr:rowOff>152400</xdr:rowOff>
    </xdr:to>
    <xdr:sp macro="" textlink="">
      <xdr:nvSpPr>
        <xdr:cNvPr id="3" name="Drawing 4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4705350" y="3322109"/>
          <a:ext cx="159809" cy="1087966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2147483647 h 16384"/>
            <a:gd name="T10" fmla="*/ 2147483647 w 16384"/>
            <a:gd name="T11" fmla="*/ 2147483647 h 16384"/>
            <a:gd name="T12" fmla="*/ 0 w 16384"/>
            <a:gd name="T13" fmla="*/ 2147483647 h 1638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6384"/>
            <a:gd name="T22" fmla="*/ 0 h 16384"/>
            <a:gd name="T23" fmla="*/ 16384 w 16384"/>
            <a:gd name="T24" fmla="*/ 16384 h 16384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6384" h="16384">
              <a:moveTo>
                <a:pt x="1725" y="0"/>
              </a:moveTo>
              <a:lnTo>
                <a:pt x="10348" y="0"/>
              </a:lnTo>
              <a:lnTo>
                <a:pt x="10348" y="7802"/>
              </a:lnTo>
              <a:lnTo>
                <a:pt x="16384" y="9362"/>
              </a:lnTo>
              <a:lnTo>
                <a:pt x="10348" y="10663"/>
              </a:lnTo>
              <a:lnTo>
                <a:pt x="10348" y="16384"/>
              </a:lnTo>
              <a:lnTo>
                <a:pt x="0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15</xdr:row>
      <xdr:rowOff>152400</xdr:rowOff>
    </xdr:from>
    <xdr:to>
      <xdr:col>7</xdr:col>
      <xdr:colOff>276225</xdr:colOff>
      <xdr:row>18</xdr:row>
      <xdr:rowOff>190500</xdr:rowOff>
    </xdr:to>
    <xdr:sp macro="" textlink="">
      <xdr:nvSpPr>
        <xdr:cNvPr id="29778" name="Drawing 2">
          <a:extLst>
            <a:ext uri="{FF2B5EF4-FFF2-40B4-BE49-F238E27FC236}">
              <a16:creationId xmlns="" xmlns:a16="http://schemas.microsoft.com/office/drawing/2014/main" id="{00000000-0008-0000-0E00-000052740000}"/>
            </a:ext>
          </a:extLst>
        </xdr:cNvPr>
        <xdr:cNvSpPr>
          <a:spLocks/>
        </xdr:cNvSpPr>
      </xdr:nvSpPr>
      <xdr:spPr bwMode="auto">
        <a:xfrm>
          <a:off x="4572000" y="4410075"/>
          <a:ext cx="180975" cy="866775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2147483647 h 16384"/>
            <a:gd name="T10" fmla="*/ 2147483647 w 16384"/>
            <a:gd name="T11" fmla="*/ 2147483647 h 16384"/>
            <a:gd name="T12" fmla="*/ 0 w 16384"/>
            <a:gd name="T13" fmla="*/ 2147483647 h 1638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6384"/>
            <a:gd name="T22" fmla="*/ 0 h 16384"/>
            <a:gd name="T23" fmla="*/ 16384 w 16384"/>
            <a:gd name="T24" fmla="*/ 16384 h 16384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6384" h="16384">
              <a:moveTo>
                <a:pt x="1725" y="0"/>
              </a:moveTo>
              <a:lnTo>
                <a:pt x="10348" y="0"/>
              </a:lnTo>
              <a:lnTo>
                <a:pt x="10348" y="7802"/>
              </a:lnTo>
              <a:lnTo>
                <a:pt x="16384" y="9362"/>
              </a:lnTo>
              <a:lnTo>
                <a:pt x="10348" y="10663"/>
              </a:lnTo>
              <a:lnTo>
                <a:pt x="10348" y="16384"/>
              </a:lnTo>
              <a:lnTo>
                <a:pt x="0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152400</xdr:rowOff>
    </xdr:from>
    <xdr:to>
      <xdr:col>7</xdr:col>
      <xdr:colOff>276225</xdr:colOff>
      <xdr:row>18</xdr:row>
      <xdr:rowOff>190500</xdr:rowOff>
    </xdr:to>
    <xdr:sp macro="" textlink="">
      <xdr:nvSpPr>
        <xdr:cNvPr id="3" name="Drawing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4572000" y="4410075"/>
          <a:ext cx="180975" cy="866775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2147483647 h 16384"/>
            <a:gd name="T10" fmla="*/ 2147483647 w 16384"/>
            <a:gd name="T11" fmla="*/ 2147483647 h 16384"/>
            <a:gd name="T12" fmla="*/ 0 w 16384"/>
            <a:gd name="T13" fmla="*/ 2147483647 h 1638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6384"/>
            <a:gd name="T22" fmla="*/ 0 h 16384"/>
            <a:gd name="T23" fmla="*/ 16384 w 16384"/>
            <a:gd name="T24" fmla="*/ 16384 h 16384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6384" h="16384">
              <a:moveTo>
                <a:pt x="1725" y="0"/>
              </a:moveTo>
              <a:lnTo>
                <a:pt x="10348" y="0"/>
              </a:lnTo>
              <a:lnTo>
                <a:pt x="10348" y="7802"/>
              </a:lnTo>
              <a:lnTo>
                <a:pt x="16384" y="9362"/>
              </a:lnTo>
              <a:lnTo>
                <a:pt x="10348" y="10663"/>
              </a:lnTo>
              <a:lnTo>
                <a:pt x="10348" y="16384"/>
              </a:lnTo>
              <a:lnTo>
                <a:pt x="0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10</xdr:row>
      <xdr:rowOff>0</xdr:rowOff>
    </xdr:from>
    <xdr:to>
      <xdr:col>7</xdr:col>
      <xdr:colOff>314325</xdr:colOff>
      <xdr:row>21</xdr:row>
      <xdr:rowOff>152400</xdr:rowOff>
    </xdr:to>
    <xdr:sp macro="" textlink="">
      <xdr:nvSpPr>
        <xdr:cNvPr id="3" name="Drawing 8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>
          <a:spLocks/>
        </xdr:cNvSpPr>
      </xdr:nvSpPr>
      <xdr:spPr bwMode="auto">
        <a:xfrm>
          <a:off x="4543425" y="2952750"/>
          <a:ext cx="266700" cy="2809875"/>
        </a:xfrm>
        <a:custGeom>
          <a:avLst/>
          <a:gdLst>
            <a:gd name="T0" fmla="*/ 2147483647 w 18"/>
            <a:gd name="T1" fmla="*/ 0 h 551"/>
            <a:gd name="T2" fmla="*/ 2147483647 w 18"/>
            <a:gd name="T3" fmla="*/ 0 h 551"/>
            <a:gd name="T4" fmla="*/ 2147483647 w 18"/>
            <a:gd name="T5" fmla="*/ 2147483647 h 551"/>
            <a:gd name="T6" fmla="*/ 2147483647 w 18"/>
            <a:gd name="T7" fmla="*/ 2147483647 h 551"/>
            <a:gd name="T8" fmla="*/ 2147483647 w 18"/>
            <a:gd name="T9" fmla="*/ 2147483647 h 551"/>
            <a:gd name="T10" fmla="*/ 2147483647 w 18"/>
            <a:gd name="T11" fmla="*/ 2147483647 h 551"/>
            <a:gd name="T12" fmla="*/ 2147483647 w 18"/>
            <a:gd name="T13" fmla="*/ 2147483647 h 551"/>
            <a:gd name="T14" fmla="*/ 0 w 18"/>
            <a:gd name="T15" fmla="*/ 2147483647 h 551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18"/>
            <a:gd name="T25" fmla="*/ 0 h 551"/>
            <a:gd name="T26" fmla="*/ 18 w 18"/>
            <a:gd name="T27" fmla="*/ 551 h 551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18" h="551">
              <a:moveTo>
                <a:pt x="1" y="0"/>
              </a:moveTo>
              <a:lnTo>
                <a:pt x="8" y="0"/>
              </a:lnTo>
              <a:lnTo>
                <a:pt x="8" y="287"/>
              </a:lnTo>
              <a:lnTo>
                <a:pt x="18" y="292"/>
              </a:lnTo>
              <a:lnTo>
                <a:pt x="9" y="297"/>
              </a:lnTo>
              <a:lnTo>
                <a:pt x="9" y="551"/>
              </a:lnTo>
              <a:lnTo>
                <a:pt x="1" y="551"/>
              </a:lnTo>
              <a:lnTo>
                <a:pt x="0" y="551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243416</xdr:colOff>
      <xdr:row>9</xdr:row>
      <xdr:rowOff>127000</xdr:rowOff>
    </xdr:from>
    <xdr:to>
      <xdr:col>7</xdr:col>
      <xdr:colOff>466725</xdr:colOff>
      <xdr:row>21</xdr:row>
      <xdr:rowOff>152400</xdr:rowOff>
    </xdr:to>
    <xdr:sp macro="" textlink="">
      <xdr:nvSpPr>
        <xdr:cNvPr id="3" name="Drawing 1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>
          <a:spLocks/>
        </xdr:cNvSpPr>
      </xdr:nvSpPr>
      <xdr:spPr bwMode="auto">
        <a:xfrm>
          <a:off x="4701116" y="2727325"/>
          <a:ext cx="223309" cy="3340100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2147483647 h 16384"/>
            <a:gd name="T10" fmla="*/ 2147483647 w 16384"/>
            <a:gd name="T11" fmla="*/ 2147483647 h 16384"/>
            <a:gd name="T12" fmla="*/ 0 w 16384"/>
            <a:gd name="T13" fmla="*/ 2147483647 h 1638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6384"/>
            <a:gd name="T22" fmla="*/ 0 h 16384"/>
            <a:gd name="T23" fmla="*/ 16384 w 16384"/>
            <a:gd name="T24" fmla="*/ 16384 h 16384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6384" h="16384">
              <a:moveTo>
                <a:pt x="0" y="0"/>
              </a:moveTo>
              <a:lnTo>
                <a:pt x="9261" y="0"/>
              </a:lnTo>
              <a:lnTo>
                <a:pt x="9261" y="7190"/>
              </a:lnTo>
              <a:lnTo>
                <a:pt x="16384" y="7499"/>
              </a:lnTo>
              <a:lnTo>
                <a:pt x="9261" y="7755"/>
              </a:lnTo>
              <a:lnTo>
                <a:pt x="9261" y="16384"/>
              </a:lnTo>
              <a:lnTo>
                <a:pt x="0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314325</xdr:colOff>
      <xdr:row>27</xdr:row>
      <xdr:rowOff>161925</xdr:rowOff>
    </xdr:from>
    <xdr:to>
      <xdr:col>7</xdr:col>
      <xdr:colOff>533400</xdr:colOff>
      <xdr:row>36</xdr:row>
      <xdr:rowOff>0</xdr:rowOff>
    </xdr:to>
    <xdr:sp macro="" textlink="">
      <xdr:nvSpPr>
        <xdr:cNvPr id="14473" name="Drawing 1">
          <a:extLst>
            <a:ext uri="{FF2B5EF4-FFF2-40B4-BE49-F238E27FC236}">
              <a16:creationId xmlns="" xmlns:a16="http://schemas.microsoft.com/office/drawing/2014/main" id="{00000000-0008-0000-1600-000089380000}"/>
            </a:ext>
          </a:extLst>
        </xdr:cNvPr>
        <xdr:cNvSpPr>
          <a:spLocks/>
        </xdr:cNvSpPr>
      </xdr:nvSpPr>
      <xdr:spPr bwMode="auto">
        <a:xfrm>
          <a:off x="4876800" y="7458075"/>
          <a:ext cx="219075" cy="1895475"/>
        </a:xfrm>
        <a:custGeom>
          <a:avLst/>
          <a:gdLst>
            <a:gd name="T0" fmla="*/ 0 w 16384"/>
            <a:gd name="T1" fmla="*/ 0 h 16384"/>
            <a:gd name="T2" fmla="*/ 2147483647 w 16384"/>
            <a:gd name="T3" fmla="*/ 0 h 16384"/>
            <a:gd name="T4" fmla="*/ 2147483647 w 16384"/>
            <a:gd name="T5" fmla="*/ 2147483647 h 16384"/>
            <a:gd name="T6" fmla="*/ 2147483647 w 16384"/>
            <a:gd name="T7" fmla="*/ 2147483647 h 16384"/>
            <a:gd name="T8" fmla="*/ 2147483647 w 16384"/>
            <a:gd name="T9" fmla="*/ 2147483647 h 16384"/>
            <a:gd name="T10" fmla="*/ 2147483647 w 16384"/>
            <a:gd name="T11" fmla="*/ 2147483647 h 16384"/>
            <a:gd name="T12" fmla="*/ 0 w 16384"/>
            <a:gd name="T13" fmla="*/ 2147483647 h 16384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16384"/>
            <a:gd name="T22" fmla="*/ 0 h 16384"/>
            <a:gd name="T23" fmla="*/ 16384 w 16384"/>
            <a:gd name="T24" fmla="*/ 16384 h 16384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16384" h="16384">
              <a:moveTo>
                <a:pt x="0" y="0"/>
              </a:moveTo>
              <a:lnTo>
                <a:pt x="9261" y="0"/>
              </a:lnTo>
              <a:lnTo>
                <a:pt x="9261" y="7190"/>
              </a:lnTo>
              <a:lnTo>
                <a:pt x="16384" y="7499"/>
              </a:lnTo>
              <a:lnTo>
                <a:pt x="9261" y="7755"/>
              </a:lnTo>
              <a:lnTo>
                <a:pt x="9261" y="16384"/>
              </a:lnTo>
              <a:lnTo>
                <a:pt x="0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1;&#3619;&#3632;&#3617;&#3634;&#3603;&#3619;&#3634;&#3588;&#3634;&#3611;&#3637;%2053\deta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48;&#3607;&#3624;&#3610;&#3634;&#3621;&#3605;&#3635;&#3610;&#3621;&#3607;&#3640;&#3656;&#3591;&#3627;&#3621;&#3623;&#3591;\&#3611;&#3619;&#3632;&#3617;&#3634;&#3603;&#3619;&#3634;&#3588;&#3634;\&#3611;&#3619;&#3632;&#3617;&#3634;&#3619;&#3619;&#3634;&#3588;&#3634;&#3585;&#3621;&#3634;&#3591;&#3606;&#3609;&#3609;&#3588;&#3629;&#3609;&#3585;&#3619;&#3637;&#3605;&#3626;&#3634;&#3618;&#3626;&#3632;&#3614;&#3634;&#3609;&#3614;&#3619;&#3632;&#3648;&#3623;&#3637;&#3618;&#359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iam\Documents\&#3591;&#3634;&#3609;&#3611;&#3637;%20&#3666;&#3669;&#3669;&#3672;\&#3611;&#3619;&#3632;&#3611;&#3634;%207%20&#3619;&#3641;&#3611;&#3649;&#3610;&#3610;%20&#3585;.&#3614;.58\&#3626;&#3635;&#3648;&#3609;&#3634;&#3586;&#3629;&#3591;%20deta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J-WIN7Thi\Documents\&#3591;&#3634;&#3609;&#3611;&#3637;%202561\&#3611;&#3619;&#3632;&#3617;&#3634;&#3603;&#3619;&#3634;&#3588;&#3634;%2061\&#3611;&#3619;&#3632;&#3617;&#3634;&#3603;&#3585;&#3634;&#3619;&#3606;&#3633;&#3591;&#3648;&#3594;&#3617;&#3648;&#3611;&#3597;%2020%20&#3621;&#3610;.&#3617;.%20&#3610;&#3657;&#3634;&#3609;&#3652;&#3626;&#3648;&#3627;&#3609;&#3639;&#3629;%20&#3617;.4%20&#3592;.&#3626;&#3640;&#3619;&#3634;&#3625;&#3598;&#3619;&#3660;&#3608;&#3634;&#3609;&#3637;%20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ัวเรื่อง"/>
      <sheetName val="PVC1"/>
      <sheetName val="PVC2"/>
      <sheetName val="GS."/>
      <sheetName val="ท่อลงบ่อ"/>
      <sheetName val="เหล็กหล่อ"/>
      <sheetName val="ประตูน้ำ"/>
      <sheetName val="เช็ควาล์ว"/>
      <sheetName val="มาตรวัดน้ำ"/>
      <sheetName val="ฟุตวาล์ว"/>
      <sheetName val="หัวดับเพลิง"/>
      <sheetName val="ยีโบลท์"/>
      <sheetName val="ยางอัดหน้าจาน"/>
      <sheetName val="หลอดกันดิน"/>
      <sheetName val="ประแจ"/>
      <sheetName val="ก๊อกน้ำ"/>
      <sheetName val="งานดิน"/>
      <sheetName val="งานแบบหล่อ"/>
      <sheetName val="งานคอนกรีต"/>
      <sheetName val="เหล็กข้ออ้อย"/>
      <sheetName val="เหล็กเส้นกลม"/>
      <sheetName val="งานผนัง"/>
      <sheetName val="งานผิวผนัง-ผิวพื้น"/>
      <sheetName val="งานทาสี"/>
      <sheetName val="เสาเข็ม"/>
      <sheetName val="วัสดุประปา"/>
      <sheetName val="ชุดวิเคราะห์"/>
      <sheetName val="เหล็กรูปพรรณ"/>
      <sheetName val="งานหลังคา"/>
      <sheetName val="งานประตูหน้าต่าง"/>
      <sheetName val="งานฝ้าเพดาน"/>
      <sheetName val="งานไฟฟ้า"/>
      <sheetName val="เครื่องมือ"/>
      <sheetName val="คลอรีน"/>
      <sheetName val="ถังความดัน"/>
      <sheetName val="สแตนเลส"/>
      <sheetName val="อื่น ๆ"/>
      <sheetName val="ท่อผ่านผนัง"/>
      <sheetName val="เครื่องสูบน้ำหอยโข่ง"/>
      <sheetName val="ตู้ควบคุมหอยโข่ง"/>
      <sheetName val="ซับเมิส"/>
      <sheetName val="ตู้ควบคุมซับเมิส"/>
      <sheetName val="แอร์เรเตอร์"/>
      <sheetName val="ท่อ AC"/>
      <sheetName val="แอร์วาล์ว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ท่อเหล็กอาบสังกะสี+ข้อต่อยาว6ม. dia 2"</v>
          </cell>
        </row>
        <row r="9">
          <cell r="B9" t="str">
            <v>ท่อเหล็กอาบสังกะสี+ข้อต่อยาว6ม. dia 3"</v>
          </cell>
        </row>
        <row r="62">
          <cell r="B62" t="str">
            <v>ข้อโค้งเหล็กอาบสังกะสี 90 ม-ม dia 2"</v>
          </cell>
        </row>
        <row r="64">
          <cell r="B64" t="str">
            <v>ข้อโค้งเหล็กอาบสังกะสี 90 ม-ม dia 3"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3">
          <cell r="D3">
            <v>720</v>
          </cell>
          <cell r="E3">
            <v>130</v>
          </cell>
        </row>
        <row r="5">
          <cell r="D5">
            <v>6615</v>
          </cell>
          <cell r="E5">
            <v>1250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6">
          <cell r="B6" t="str">
            <v>เสาไฟฟ้า คอร. ยาวไม่น้อยกว่า 8.00 ม.</v>
          </cell>
          <cell r="C6" t="str">
            <v>ต้น</v>
          </cell>
          <cell r="D6">
            <v>1500</v>
          </cell>
          <cell r="E6">
            <v>500</v>
          </cell>
        </row>
        <row r="7">
          <cell r="B7" t="str">
            <v>สายไฟฟ้าอลูมิเนียมหุ้มฉนวน พื้นที่หน้าตัดไม่น้อยกว่า 25 ตร.มม.</v>
          </cell>
          <cell r="C7" t="str">
            <v>ม.</v>
          </cell>
          <cell r="D7">
            <v>25</v>
          </cell>
          <cell r="E7" t="str">
            <v>-</v>
          </cell>
        </row>
        <row r="8">
          <cell r="B8" t="str">
            <v>แผงควบคุมไฟฟ้าในโรงสูบน้ำ</v>
          </cell>
          <cell r="C8" t="str">
            <v>ชุด</v>
          </cell>
          <cell r="D8">
            <v>2000</v>
          </cell>
          <cell r="E8">
            <v>200</v>
          </cell>
        </row>
        <row r="9">
          <cell r="B9" t="str">
            <v>อุปกรณ์โยงยึดสายไฟฟ้า</v>
          </cell>
          <cell r="C9" t="str">
            <v>รายการ</v>
          </cell>
          <cell r="D9">
            <v>1750</v>
          </cell>
          <cell r="E9" t="str">
            <v>-</v>
          </cell>
        </row>
        <row r="10">
          <cell r="B10" t="str">
            <v>สวิทซ์ลูกลอยอัตโนมัติ</v>
          </cell>
          <cell r="C10" t="str">
            <v>ชุด</v>
          </cell>
          <cell r="D10">
            <v>1200</v>
          </cell>
          <cell r="E10">
            <v>200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>
        <row r="21">
          <cell r="B21" t="str">
            <v>เทปพันเกลียว</v>
          </cell>
        </row>
        <row r="53">
          <cell r="B53" t="str">
            <v xml:space="preserve">สายยางอ่อน dia. 1/2 "   </v>
          </cell>
        </row>
        <row r="54">
          <cell r="B54" t="str">
            <v>เสารับท่อส่งน้ำดิบ ด้านทางดูดน้ำ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"/>
      <sheetName val="XXXXX"/>
      <sheetName val="10000"/>
      <sheetName val="เมนู"/>
      <sheetName val="ข้อมูลเริ่มต้น"/>
      <sheetName val="ข้อมูลวัสดุ และค่าดำเนินการ"/>
      <sheetName val="ค่างานต้นทุนต่อหน่วย"/>
      <sheetName val="สรุปโครงสร้างทาง ช่วง 1"/>
      <sheetName val="สรุปโครงสร้างทาง ช่วง 2"/>
      <sheetName val="สรุปโครงสร้างทาง ช่วง 3"/>
      <sheetName val="สรุปโครงสร้างทาง ช่วง 4"/>
      <sheetName val="ดินตัด , ดินถม+ถางป่า ช่วง 1"/>
      <sheetName val="ดินตัด , ดินถม+ถางป่า ช่วง 2"/>
      <sheetName val="ดินตัด , ดินถม+ถางป่า ช่วง 3"/>
      <sheetName val="ดินตัด , ดินถม+ถางป่า ช่วง 4"/>
      <sheetName val="สรุปผลการคำนวณ"/>
      <sheetName val="แบบสรุปราคาแอสฟัลต์"/>
      <sheetName val="แบบสรุปราคา คสล."/>
      <sheetName val="แบบสรุปราคาลุกรัง บดอัด "/>
      <sheetName val="แบบสรุปราคาลุกรัง ปรับเกลี่ย"/>
      <sheetName val="ดำเนินการ + เสื่อมราคา"/>
      <sheetName val="ค่าดำเนินการ+ค่าเสื่อมราคา"/>
      <sheetName val="รวมoperate"/>
      <sheetName val="ขนส่ง 6 ล้อ"/>
      <sheetName val="ขนส่ง 10 ล้อ"/>
      <sheetName val="ขนส่ง 10 ล้อ+พ่วง"/>
      <sheetName val="6ล้อ"/>
      <sheetName val="10ล้อ"/>
      <sheetName val="10ล้อ+พ่วง"/>
      <sheetName val="ตารางขนส่ง 6 ล้อ"/>
      <sheetName val="ตารางขนส่ง 10 ล้อ"/>
      <sheetName val="ตารางขนส่ง 10 ล้อ + ลากพ่วง"/>
      <sheetName val="สูตร6ล้อ"/>
      <sheetName val="คำแนะนำ"/>
      <sheetName val="สูตร10ล้อ"/>
      <sheetName val="สูตร10ล้อพ่วง"/>
      <sheetName val="F_อาคาร"/>
      <sheetName val="F_ทาง"/>
      <sheetName val="F_ชลประทาน"/>
      <sheetName val="F_สะพานและท่อเหลี่ยม"/>
      <sheetName val="เปรียบเทียบราคาแอสฟัลต์"/>
      <sheetName val="หาพื้นที่หน้าตัดดินถม"/>
      <sheetName val="รายการคำนวณเทียบค่างานต้นทุน"/>
      <sheetName val="ปร.4 box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ตารางถอดแบบbox"/>
      <sheetName val="แบบ ท1-01"/>
      <sheetName val="แบบกำแพงปากท่อ"/>
      <sheetName val="แบบบ่อพัก 0.30"/>
      <sheetName val="แบบบ่อพัก 0.40"/>
      <sheetName val="แบบบ่อพัก 0.60"/>
      <sheetName val="แบบบล็อก"/>
      <sheetName val="หาราคาดิน + ลูกรัง"/>
      <sheetName val="ปร.5 แอสฟัลต์"/>
      <sheetName val="ปร.5 คสล."/>
      <sheetName val="ปร.5 ลูกรังบดอัด"/>
      <sheetName val="ปร.5 ลูกรังปรับเกลี่ย"/>
      <sheetName val="ราคาหินผสมแอสฟัลต์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1">
          <cell r="W71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ัวเรื่อง"/>
      <sheetName val="PVC1"/>
      <sheetName val="PVC2"/>
      <sheetName val="GS."/>
      <sheetName val="ท่อลงบ่อ"/>
      <sheetName val="เหล็กหล่อ"/>
      <sheetName val="ประตูน้ำ"/>
      <sheetName val="เช็ควาล์ว"/>
      <sheetName val="มาตรวัดน้ำ"/>
      <sheetName val="ฟุตวาล์ว"/>
      <sheetName val="หัวดับเพลิง"/>
      <sheetName val="ยีโบลท์"/>
      <sheetName val="ยางอัดหน้าจาน"/>
      <sheetName val="หลอดกันดิน"/>
      <sheetName val="ประแจ"/>
      <sheetName val="ก๊อกน้ำ"/>
      <sheetName val="งานดิน"/>
      <sheetName val="งานแบบหล่อ"/>
      <sheetName val="งานคอนกรีต"/>
      <sheetName val="เหล็กข้ออ้อย"/>
      <sheetName val="เหล็กเส้นกลม"/>
      <sheetName val="งานผนัง"/>
      <sheetName val="งานผิวผนัง-ผิวพื้น"/>
      <sheetName val="งานทาสี"/>
      <sheetName val="เสาเข็ม"/>
      <sheetName val="วัสดุประปา"/>
      <sheetName val="ชุดวิเคราะห์"/>
      <sheetName val="เหล็กรูปพรรณ"/>
      <sheetName val="งานหลังคา"/>
      <sheetName val="งานประตูหน้าต่าง"/>
      <sheetName val="งานฝ้าเพดาน"/>
      <sheetName val="งานไฟฟ้า"/>
      <sheetName val="เครื่องมือ"/>
      <sheetName val="คลอรีน"/>
      <sheetName val="ถังความดัน"/>
      <sheetName val="สแตนเลส"/>
      <sheetName val="อื่น ๆ"/>
      <sheetName val="ท่อผ่านผนัง"/>
      <sheetName val="เครื่องสูบน้ำหอยโข่ง"/>
      <sheetName val="Sheet3"/>
      <sheetName val="Sheet1"/>
      <sheetName val="ตู้ควบคุมหอยโข่ง"/>
      <sheetName val="ซับเมิส"/>
      <sheetName val="Sheet4"/>
      <sheetName val="Sheet2"/>
      <sheetName val="ตู้ควบคุมซับเมิส"/>
      <sheetName val="แอร์เรเตอร์"/>
      <sheetName val="ท่อ AC"/>
      <sheetName val="แอร์วาล์ว"/>
      <sheetName val="HDPE"/>
    </sheetNames>
    <sheetDataSet>
      <sheetData sheetId="0" refreshError="1"/>
      <sheetData sheetId="1">
        <row r="6">
          <cell r="C6" t="str">
            <v>ท่อน</v>
          </cell>
        </row>
      </sheetData>
      <sheetData sheetId="2" refreshError="1"/>
      <sheetData sheetId="3">
        <row r="2">
          <cell r="B2" t="str">
            <v>ท่อเหล็กอาบสังกะสี+ข้อต่อยาว6ม. dia 1/2"</v>
          </cell>
        </row>
      </sheetData>
      <sheetData sheetId="4" refreshError="1"/>
      <sheetData sheetId="5" refreshError="1"/>
      <sheetData sheetId="6">
        <row r="2">
          <cell r="B2" t="str">
            <v>ประตูน้ำทองเหลือง dia 1/2"</v>
          </cell>
        </row>
      </sheetData>
      <sheetData sheetId="7" refreshError="1"/>
      <sheetData sheetId="8" refreshError="1"/>
      <sheetData sheetId="9">
        <row r="9">
          <cell r="B9" t="str">
            <v>ฟุตวาล์วทองเหลือง dia 3"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B2" t="str">
            <v>ขุดดินหลุมฐานราก/ถมคืน</v>
          </cell>
        </row>
      </sheetData>
      <sheetData sheetId="17">
        <row r="2">
          <cell r="B2" t="str">
            <v>ขุดดินหลุมฐานราก/ถมคืน</v>
          </cell>
        </row>
      </sheetData>
      <sheetData sheetId="18">
        <row r="2">
          <cell r="B2" t="str">
            <v>คอนกรีต 1 : 3 : 5</v>
          </cell>
        </row>
      </sheetData>
      <sheetData sheetId="19" refreshError="1"/>
      <sheetData sheetId="20">
        <row r="2">
          <cell r="B2" t="str">
            <v>เหล็กเส้นกลม dia. 6 มม. (2.22 กก./เส้น)</v>
          </cell>
        </row>
      </sheetData>
      <sheetData sheetId="21">
        <row r="2">
          <cell r="B2" t="str">
            <v>ก่ออิฐมอญ 1/2 แผ่น</v>
          </cell>
        </row>
      </sheetData>
      <sheetData sheetId="22">
        <row r="2">
          <cell r="B2" t="str">
            <v xml:space="preserve">ฉาบปูนเรียบธรรมดา </v>
          </cell>
        </row>
      </sheetData>
      <sheetData sheetId="23">
        <row r="2">
          <cell r="B2" t="str">
            <v>ทาสีน้ำพลาสติก</v>
          </cell>
        </row>
        <row r="3">
          <cell r="B3" t="str">
            <v>ทาสีน้ำมัน</v>
          </cell>
        </row>
      </sheetData>
      <sheetData sheetId="24">
        <row r="2">
          <cell r="B2" t="str">
            <v>ทาสีน้ำพลาสติก</v>
          </cell>
        </row>
      </sheetData>
      <sheetData sheetId="25">
        <row r="4">
          <cell r="C4" t="str">
            <v>ต้น</v>
          </cell>
        </row>
      </sheetData>
      <sheetData sheetId="26" refreshError="1"/>
      <sheetData sheetId="27">
        <row r="2">
          <cell r="B2" t="str">
            <v>เหล็ก LG 100 x 100 x 2.3 มม. ยาว 6 ม. กลวงสี่เหลี่ยม</v>
          </cell>
        </row>
      </sheetData>
      <sheetData sheetId="28">
        <row r="2">
          <cell r="B2" t="str">
            <v>กระเบื้องซีเมนต์ใยหินแผ่นลอนคู่ 0.50 x1.20 ม. หนา 5 มม.</v>
          </cell>
        </row>
      </sheetData>
      <sheetData sheetId="29">
        <row r="2">
          <cell r="B2" t="str">
            <v>บานประตูไม้เนื้อแข็ง 0.80 x 2.00 ม.</v>
          </cell>
        </row>
      </sheetData>
      <sheetData sheetId="30">
        <row r="2">
          <cell r="B2" t="str">
            <v>บานประตูไม้เนื้อแข็ง 0.80 x 2.00 ม.</v>
          </cell>
        </row>
      </sheetData>
      <sheetData sheetId="31">
        <row r="3">
          <cell r="B3" t="str">
            <v>ฝ้ากระเบื้องแผ่นเรียบหนา 6 มม. + เคร่าไม้ @ 0.60 ม.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>
        <row r="2">
          <cell r="B2" t="str">
            <v>กรวดกรอง dia 1 1/4" - 2 1/4"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งวด"/>
      <sheetName val="งวดงาน"/>
      <sheetName val="งวดงาน ส"/>
      <sheetName val="ค่า K"/>
      <sheetName val="ปกเฉพาะ"/>
      <sheetName val="เฉพาะแห่ง"/>
      <sheetName val="ปกราคา"/>
      <sheetName val="แบบ ปร.5"/>
      <sheetName val="แบบ ปร.6"/>
      <sheetName val="ปร.6"/>
      <sheetName val="ปร.5"/>
      <sheetName val="ปร.5 (2)"/>
      <sheetName val="ปร.5-2"/>
      <sheetName val="921001"/>
      <sheetName val="รั้ว"/>
      <sheetName val="911044"/>
      <sheetName val="ประสานปากบ่อ"/>
      <sheetName val="งานดิน"/>
      <sheetName val="ทดสอบดิน"/>
      <sheetName val="ไฟฟ้าใน"/>
      <sheetName val="บ่อบาดาล "/>
      <sheetName val="สบน.10-1007"/>
      <sheetName val="สบน.10-32020"/>
      <sheetName val="ท่อส่งน้ำดิบ"/>
      <sheetName val="ท่อจ่ายน้ำ"/>
      <sheetName val="เครื่องสูบน้ำบาดาล"/>
      <sheetName val="ไฟฟ้า"/>
      <sheetName val="เครื่องมือฯประปา"/>
      <sheetName val="กรด-ด่าง"/>
      <sheetName val="ไฟฟ้านอก"/>
      <sheetName val="FACTOR F"/>
      <sheetName val=" อำนวยการ 1"/>
      <sheetName val="ดอกเบี้ย,กำไ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2">
          <cell r="G12">
            <v>1</v>
          </cell>
        </row>
        <row r="13">
          <cell r="G13">
            <v>1</v>
          </cell>
        </row>
        <row r="14">
          <cell r="G14">
            <v>1</v>
          </cell>
        </row>
        <row r="15">
          <cell r="G15">
            <v>1</v>
          </cell>
        </row>
        <row r="16">
          <cell r="G16">
            <v>1</v>
          </cell>
        </row>
        <row r="17">
          <cell r="G17">
            <v>1</v>
          </cell>
        </row>
        <row r="18">
          <cell r="G18">
            <v>1</v>
          </cell>
        </row>
        <row r="19">
          <cell r="G19">
            <v>1</v>
          </cell>
        </row>
        <row r="20">
          <cell r="G20">
            <v>1</v>
          </cell>
        </row>
        <row r="21">
          <cell r="G21">
            <v>1</v>
          </cell>
        </row>
        <row r="22">
          <cell r="G22">
            <v>1</v>
          </cell>
        </row>
        <row r="23">
          <cell r="G23">
            <v>1</v>
          </cell>
        </row>
        <row r="24">
          <cell r="G24">
            <v>1</v>
          </cell>
        </row>
        <row r="25">
          <cell r="G25">
            <v>1</v>
          </cell>
        </row>
        <row r="26">
          <cell r="G26">
            <v>1</v>
          </cell>
        </row>
        <row r="27">
          <cell r="G27">
            <v>1</v>
          </cell>
        </row>
        <row r="28">
          <cell r="G28">
            <v>1</v>
          </cell>
        </row>
        <row r="29">
          <cell r="G29">
            <v>1</v>
          </cell>
        </row>
        <row r="30">
          <cell r="G30">
            <v>1</v>
          </cell>
        </row>
        <row r="31">
          <cell r="G31">
            <v>1</v>
          </cell>
        </row>
        <row r="32">
          <cell r="G32">
            <v>1</v>
          </cell>
        </row>
        <row r="33">
          <cell r="G33">
            <v>1</v>
          </cell>
        </row>
        <row r="34">
          <cell r="G34">
            <v>1</v>
          </cell>
        </row>
        <row r="35">
          <cell r="G35">
            <v>1</v>
          </cell>
        </row>
        <row r="48">
          <cell r="G48">
            <v>5.5</v>
          </cell>
        </row>
        <row r="49">
          <cell r="G49">
            <v>5.5</v>
          </cell>
        </row>
        <row r="50">
          <cell r="G50">
            <v>5.5</v>
          </cell>
        </row>
        <row r="51">
          <cell r="G51">
            <v>5.5</v>
          </cell>
        </row>
        <row r="52">
          <cell r="G52">
            <v>5</v>
          </cell>
        </row>
        <row r="53">
          <cell r="G53">
            <v>5</v>
          </cell>
        </row>
        <row r="54">
          <cell r="G54">
            <v>5</v>
          </cell>
        </row>
        <row r="55">
          <cell r="G55">
            <v>4.5</v>
          </cell>
        </row>
        <row r="56">
          <cell r="G56">
            <v>4.5</v>
          </cell>
        </row>
        <row r="57">
          <cell r="G57">
            <v>4.5</v>
          </cell>
        </row>
        <row r="58">
          <cell r="G58">
            <v>4.5</v>
          </cell>
        </row>
        <row r="59">
          <cell r="G59">
            <v>4</v>
          </cell>
        </row>
        <row r="60">
          <cell r="G60">
            <v>4</v>
          </cell>
        </row>
        <row r="61">
          <cell r="G61">
            <v>4</v>
          </cell>
        </row>
        <row r="62">
          <cell r="G62">
            <v>4</v>
          </cell>
        </row>
        <row r="63">
          <cell r="G63">
            <v>4</v>
          </cell>
        </row>
        <row r="64">
          <cell r="G64">
            <v>4</v>
          </cell>
        </row>
        <row r="65">
          <cell r="G65">
            <v>4</v>
          </cell>
        </row>
        <row r="66">
          <cell r="G66">
            <v>4</v>
          </cell>
        </row>
        <row r="67">
          <cell r="G67">
            <v>3.5</v>
          </cell>
        </row>
        <row r="68">
          <cell r="G68">
            <v>3.5</v>
          </cell>
        </row>
        <row r="69">
          <cell r="G69">
            <v>3.5</v>
          </cell>
        </row>
        <row r="70">
          <cell r="G70">
            <v>3.5</v>
          </cell>
        </row>
        <row r="71">
          <cell r="G71">
            <v>3.5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6" workbookViewId="0">
      <selection activeCell="E26" sqref="E26"/>
    </sheetView>
  </sheetViews>
  <sheetFormatPr defaultColWidth="9" defaultRowHeight="21" x14ac:dyDescent="0.4"/>
  <cols>
    <col min="1" max="1" width="4.625" style="340" customWidth="1"/>
    <col min="2" max="2" width="7.375" style="340" customWidth="1"/>
    <col min="3" max="3" width="6" style="340" customWidth="1"/>
    <col min="4" max="5" width="9" style="340" customWidth="1"/>
    <col min="6" max="6" width="11.125" style="340" bestFit="1" customWidth="1"/>
    <col min="7" max="7" width="9" style="340" customWidth="1"/>
    <col min="8" max="8" width="11.625" style="340" customWidth="1"/>
    <col min="9" max="9" width="10.375" style="340" customWidth="1"/>
    <col min="10" max="10" width="7.875" style="340" customWidth="1"/>
    <col min="11" max="11" width="1.25" style="340" customWidth="1"/>
    <col min="12" max="16384" width="9" style="340"/>
  </cols>
  <sheetData>
    <row r="1" spans="1:10" x14ac:dyDescent="0.4">
      <c r="A1" s="337"/>
      <c r="B1" s="338"/>
      <c r="C1" s="338"/>
      <c r="D1" s="338"/>
      <c r="E1" s="338"/>
      <c r="F1" s="338"/>
      <c r="G1" s="338"/>
      <c r="H1" s="338"/>
      <c r="I1" s="338"/>
      <c r="J1" s="339"/>
    </row>
    <row r="2" spans="1:10" ht="36" x14ac:dyDescent="0.65">
      <c r="A2" s="341"/>
      <c r="F2" s="739" t="s">
        <v>1312</v>
      </c>
      <c r="J2" s="343"/>
    </row>
    <row r="3" spans="1:10" ht="28.2" x14ac:dyDescent="0.5">
      <c r="A3" s="341"/>
      <c r="F3" s="342" t="str">
        <f>ปกราคา!F6</f>
        <v>ประกอบแบบแปลนการก่อสร้างระบบประปาหมู่บ้าน</v>
      </c>
      <c r="J3" s="343"/>
    </row>
    <row r="4" spans="1:10" ht="28.2" x14ac:dyDescent="0.5">
      <c r="A4" s="341"/>
      <c r="F4" s="342">
        <f>ปกราคา!F7</f>
        <v>0</v>
      </c>
      <c r="J4" s="343"/>
    </row>
    <row r="5" spans="1:10" ht="28.2" x14ac:dyDescent="0.5">
      <c r="A5" s="341"/>
      <c r="F5" s="342" t="str">
        <f>ปกราคา!F8</f>
        <v>ปีงบประมาณ 256๖</v>
      </c>
      <c r="J5" s="343"/>
    </row>
    <row r="6" spans="1:10" ht="24.75" customHeight="1" x14ac:dyDescent="0.4">
      <c r="A6" s="341"/>
      <c r="J6" s="343"/>
    </row>
    <row r="7" spans="1:10" ht="24.75" customHeight="1" x14ac:dyDescent="0.4">
      <c r="A7" s="341"/>
      <c r="J7" s="343"/>
    </row>
    <row r="8" spans="1:10" ht="24.75" customHeight="1" x14ac:dyDescent="0.4">
      <c r="A8" s="341"/>
      <c r="J8" s="343"/>
    </row>
    <row r="9" spans="1:10" ht="24.75" customHeight="1" x14ac:dyDescent="0.4">
      <c r="A9" s="341"/>
      <c r="J9" s="343"/>
    </row>
    <row r="10" spans="1:10" ht="24.75" customHeight="1" x14ac:dyDescent="0.4">
      <c r="A10" s="341"/>
      <c r="J10" s="343"/>
    </row>
    <row r="11" spans="1:10" ht="25.2" x14ac:dyDescent="0.45">
      <c r="A11" s="341"/>
      <c r="F11" s="344" t="s">
        <v>142</v>
      </c>
      <c r="J11" s="343"/>
    </row>
    <row r="12" spans="1:10" ht="33" x14ac:dyDescent="0.6">
      <c r="A12" s="341"/>
      <c r="F12" s="345" t="str">
        <f>ปกราคา!F14</f>
        <v>บ้านวังใหญ่ หมู่ที่ ๕ ตำบลทุ่งหลวง</v>
      </c>
      <c r="J12" s="343"/>
    </row>
    <row r="13" spans="1:10" ht="33" x14ac:dyDescent="0.6">
      <c r="A13" s="341"/>
      <c r="F13" s="345" t="str">
        <f>ปกราคา!F15</f>
        <v xml:space="preserve">อำเภอเวียงสระ จังหวัดสุราษฎร์ธานี </v>
      </c>
      <c r="J13" s="343"/>
    </row>
    <row r="14" spans="1:10" ht="24.75" customHeight="1" x14ac:dyDescent="0.4">
      <c r="A14" s="341"/>
      <c r="J14" s="343"/>
    </row>
    <row r="15" spans="1:10" ht="24.75" customHeight="1" x14ac:dyDescent="0.4">
      <c r="A15" s="341"/>
      <c r="J15" s="343"/>
    </row>
    <row r="16" spans="1:10" ht="24.75" customHeight="1" x14ac:dyDescent="0.4">
      <c r="A16" s="341"/>
      <c r="J16" s="343"/>
    </row>
    <row r="17" spans="1:10" ht="24.75" customHeight="1" x14ac:dyDescent="0.4">
      <c r="A17" s="341"/>
      <c r="J17" s="343"/>
    </row>
    <row r="18" spans="1:10" ht="24.75" customHeight="1" x14ac:dyDescent="0.4">
      <c r="A18" s="341"/>
      <c r="J18" s="343"/>
    </row>
    <row r="19" spans="1:10" ht="24.75" customHeight="1" x14ac:dyDescent="0.4">
      <c r="A19" s="341"/>
      <c r="J19" s="343"/>
    </row>
    <row r="20" spans="1:10" ht="27.75" customHeight="1" x14ac:dyDescent="0.4">
      <c r="A20" s="341"/>
      <c r="D20" s="346" t="s">
        <v>10</v>
      </c>
      <c r="J20" s="343"/>
    </row>
    <row r="21" spans="1:10" ht="27.75" customHeight="1" x14ac:dyDescent="0.4">
      <c r="A21" s="341"/>
      <c r="E21" s="347" t="s">
        <v>294</v>
      </c>
      <c r="F21" s="347"/>
      <c r="J21" s="343"/>
    </row>
    <row r="22" spans="1:10" ht="27.75" customHeight="1" x14ac:dyDescent="0.5">
      <c r="A22" s="341"/>
      <c r="C22" s="348"/>
      <c r="E22" s="347" t="s">
        <v>297</v>
      </c>
      <c r="F22" s="347"/>
      <c r="J22" s="343"/>
    </row>
    <row r="23" spans="1:10" ht="27.75" customHeight="1" x14ac:dyDescent="0.5">
      <c r="A23" s="341"/>
      <c r="C23" s="348"/>
      <c r="E23" s="347" t="s">
        <v>8</v>
      </c>
      <c r="F23" s="347"/>
      <c r="J23" s="343"/>
    </row>
    <row r="24" spans="1:10" ht="27.75" customHeight="1" x14ac:dyDescent="0.5">
      <c r="A24" s="341"/>
      <c r="C24" s="348"/>
      <c r="E24" s="347" t="s">
        <v>298</v>
      </c>
      <c r="F24" s="347"/>
      <c r="J24" s="343"/>
    </row>
    <row r="25" spans="1:10" ht="27.75" customHeight="1" x14ac:dyDescent="0.5">
      <c r="A25" s="341"/>
      <c r="C25" s="348"/>
      <c r="E25" s="347" t="s">
        <v>299</v>
      </c>
      <c r="F25" s="347"/>
      <c r="J25" s="343"/>
    </row>
    <row r="26" spans="1:10" ht="27.75" customHeight="1" x14ac:dyDescent="0.4">
      <c r="A26" s="341"/>
      <c r="E26" s="349">
        <f>ปกราคา!E27</f>
        <v>0</v>
      </c>
      <c r="F26" s="349"/>
      <c r="J26" s="343"/>
    </row>
    <row r="27" spans="1:10" x14ac:dyDescent="0.4">
      <c r="A27" s="350"/>
      <c r="B27" s="351"/>
      <c r="C27" s="351"/>
      <c r="D27" s="351"/>
      <c r="E27" s="351"/>
      <c r="F27" s="351"/>
      <c r="G27" s="351"/>
      <c r="H27" s="351"/>
      <c r="I27" s="351"/>
      <c r="J27" s="352"/>
    </row>
    <row r="28" spans="1:10" ht="4.5" customHeight="1" x14ac:dyDescent="0.4"/>
  </sheetData>
  <pageMargins left="1.1417322834645669" right="0.74803149606299213" top="1.3779527559055118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topLeftCell="A55" workbookViewId="0">
      <selection activeCell="X5" sqref="X5"/>
    </sheetView>
  </sheetViews>
  <sheetFormatPr defaultColWidth="5" defaultRowHeight="21.75" customHeight="1" x14ac:dyDescent="0.6"/>
  <cols>
    <col min="1" max="4" width="5" style="732" customWidth="1"/>
    <col min="5" max="5" width="5.25" style="732" customWidth="1"/>
    <col min="6" max="18" width="5" style="732" customWidth="1"/>
    <col min="19" max="19" width="3" style="732" customWidth="1"/>
    <col min="20" max="20" width="1" style="732" customWidth="1"/>
    <col min="21" max="21" width="0.875" style="732" customWidth="1"/>
    <col min="22" max="16384" width="5" style="732"/>
  </cols>
  <sheetData>
    <row r="1" spans="1:19" s="368" customFormat="1" ht="21.75" customHeight="1" x14ac:dyDescent="0.4">
      <c r="S1" s="385" t="s">
        <v>1252</v>
      </c>
    </row>
    <row r="2" spans="1:19" s="368" customFormat="1" ht="30.75" customHeight="1" x14ac:dyDescent="0.55000000000000004">
      <c r="A2" s="356"/>
      <c r="B2" s="356"/>
      <c r="C2" s="356"/>
      <c r="D2" s="356"/>
      <c r="E2" s="356"/>
      <c r="F2" s="356"/>
      <c r="G2" s="356"/>
      <c r="H2" s="356"/>
      <c r="I2" s="356" t="s">
        <v>1253</v>
      </c>
      <c r="J2" s="356"/>
      <c r="K2" s="356"/>
      <c r="L2" s="356"/>
      <c r="M2" s="356"/>
      <c r="N2" s="356"/>
      <c r="O2" s="356"/>
      <c r="P2" s="356"/>
      <c r="Q2" s="356"/>
      <c r="R2" s="356"/>
    </row>
    <row r="3" spans="1:19" s="368" customFormat="1" ht="30.75" customHeight="1" x14ac:dyDescent="0.4">
      <c r="A3" s="468" t="s">
        <v>1254</v>
      </c>
      <c r="D3" s="365" t="str">
        <f>ปร.5!E6</f>
        <v xml:space="preserve">ก่อสร้างระบบประปาหมู่บ้าน (ปากน้ำ 3) </v>
      </c>
    </row>
    <row r="4" spans="1:19" ht="21.75" customHeight="1" x14ac:dyDescent="0.6">
      <c r="A4" s="732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</row>
    <row r="5" spans="1:19" ht="21.75" customHeight="1" x14ac:dyDescent="0.6">
      <c r="A5" s="732" t="s">
        <v>1255</v>
      </c>
      <c r="E5" s="732">
        <f>'งวดงาน ส'!Q23</f>
        <v>120</v>
      </c>
      <c r="F5" s="732" t="s">
        <v>1256</v>
      </c>
    </row>
    <row r="6" spans="1:19" ht="21.75" customHeight="1" x14ac:dyDescent="0.6">
      <c r="A6" s="732" t="s">
        <v>1257</v>
      </c>
      <c r="D6" s="1475">
        <f>ปร.6!L19</f>
        <v>903720.65592155093</v>
      </c>
      <c r="E6" s="1475"/>
      <c r="F6" s="1475"/>
      <c r="G6" s="732" t="s">
        <v>1258</v>
      </c>
      <c r="I6" s="732" t="str">
        <f>BAHTTEXT(D6)</f>
        <v>เก้าแสนสามพันเจ็ดร้อยยี่สิบบาทหกสิบหกสตางค์</v>
      </c>
      <c r="Q6" s="733" t="s">
        <v>1551</v>
      </c>
    </row>
    <row r="7" spans="1:19" ht="21.75" customHeight="1" x14ac:dyDescent="0.6">
      <c r="A7" s="732" t="s">
        <v>1259</v>
      </c>
    </row>
    <row r="8" spans="1:19" ht="21.75" customHeight="1" x14ac:dyDescent="0.6">
      <c r="A8" s="732" t="s">
        <v>1260</v>
      </c>
    </row>
    <row r="9" spans="1:19" ht="29.25" customHeight="1" x14ac:dyDescent="0.6">
      <c r="A9" s="734" t="s">
        <v>1612</v>
      </c>
    </row>
    <row r="10" spans="1:19" ht="21.75" customHeight="1" x14ac:dyDescent="0.6">
      <c r="B10" s="732" t="s">
        <v>1261</v>
      </c>
      <c r="D10" s="1476">
        <f>0.2*D6</f>
        <v>180744.13118431019</v>
      </c>
      <c r="E10" s="1476"/>
      <c r="F10" s="1476"/>
      <c r="G10" s="732" t="s">
        <v>1258</v>
      </c>
      <c r="I10" s="732" t="str">
        <f>BAHTTEXT(D10)</f>
        <v>หนึ่งแสนแปดหมื่นเจ็ดร้อยสี่สิบสี่บาทสิบสามสตางค์</v>
      </c>
      <c r="Q10" s="733" t="s">
        <v>1262</v>
      </c>
    </row>
    <row r="11" spans="1:19" ht="21.75" customHeight="1" x14ac:dyDescent="0.6">
      <c r="B11" s="735" t="s">
        <v>1263</v>
      </c>
    </row>
    <row r="12" spans="1:19" ht="21.75" customHeight="1" x14ac:dyDescent="0.6">
      <c r="C12" s="732" t="s">
        <v>1261</v>
      </c>
      <c r="E12" s="1475" t="s">
        <v>1264</v>
      </c>
      <c r="F12" s="1475"/>
      <c r="G12" s="732" t="s">
        <v>1265</v>
      </c>
      <c r="Q12" s="733" t="s">
        <v>1266</v>
      </c>
    </row>
    <row r="13" spans="1:19" ht="21.75" customHeight="1" x14ac:dyDescent="0.6">
      <c r="C13" s="732" t="s">
        <v>1553</v>
      </c>
    </row>
    <row r="14" spans="1:19" ht="21.75" customHeight="1" x14ac:dyDescent="0.6">
      <c r="C14" s="732" t="s">
        <v>1554</v>
      </c>
    </row>
    <row r="15" spans="1:19" ht="21.75" customHeight="1" x14ac:dyDescent="0.6">
      <c r="C15" s="732" t="s">
        <v>1668</v>
      </c>
    </row>
    <row r="16" spans="1:19" ht="21.75" customHeight="1" x14ac:dyDescent="0.6">
      <c r="C16" s="732" t="s">
        <v>1552</v>
      </c>
    </row>
    <row r="17" spans="1:3" ht="21.75" customHeight="1" x14ac:dyDescent="0.6">
      <c r="C17" s="732" t="s">
        <v>1669</v>
      </c>
    </row>
    <row r="18" spans="1:3" ht="21.75" customHeight="1" x14ac:dyDescent="0.6">
      <c r="C18" s="732" t="s">
        <v>1555</v>
      </c>
    </row>
    <row r="19" spans="1:3" ht="21.75" customHeight="1" x14ac:dyDescent="0.6">
      <c r="C19" s="732" t="s">
        <v>1670</v>
      </c>
    </row>
    <row r="20" spans="1:3" ht="21.75" customHeight="1" x14ac:dyDescent="0.6">
      <c r="C20" s="732" t="s">
        <v>1614</v>
      </c>
    </row>
    <row r="21" spans="1:3" ht="21.75" customHeight="1" x14ac:dyDescent="0.6">
      <c r="C21" s="732" t="s">
        <v>1556</v>
      </c>
    </row>
    <row r="22" spans="1:3" ht="21.75" customHeight="1" x14ac:dyDescent="0.6">
      <c r="C22" s="732" t="s">
        <v>1267</v>
      </c>
    </row>
    <row r="23" spans="1:3" ht="21.75" customHeight="1" x14ac:dyDescent="0.6">
      <c r="C23" s="732" t="s">
        <v>1557</v>
      </c>
    </row>
    <row r="24" spans="1:3" ht="21.75" customHeight="1" x14ac:dyDescent="0.6">
      <c r="C24" s="732" t="s">
        <v>1613</v>
      </c>
    </row>
    <row r="25" spans="1:3" ht="21.75" customHeight="1" x14ac:dyDescent="0.6">
      <c r="C25" s="732" t="s">
        <v>1268</v>
      </c>
    </row>
    <row r="26" spans="1:3" ht="21.75" customHeight="1" x14ac:dyDescent="0.6">
      <c r="C26" s="732" t="s">
        <v>1269</v>
      </c>
    </row>
    <row r="27" spans="1:3" ht="21.75" customHeight="1" x14ac:dyDescent="0.6">
      <c r="C27" s="732" t="s">
        <v>1558</v>
      </c>
    </row>
    <row r="28" spans="1:3" ht="21.75" customHeight="1" x14ac:dyDescent="0.6">
      <c r="C28" s="732" t="s">
        <v>1559</v>
      </c>
    </row>
    <row r="29" spans="1:3" ht="21.75" customHeight="1" x14ac:dyDescent="0.6">
      <c r="C29" s="732" t="s">
        <v>1560</v>
      </c>
    </row>
    <row r="30" spans="1:3" ht="21.75" customHeight="1" x14ac:dyDescent="0.6">
      <c r="C30" s="732" t="s">
        <v>1561</v>
      </c>
    </row>
    <row r="31" spans="1:3" ht="21.75" customHeight="1" x14ac:dyDescent="0.6">
      <c r="A31" s="732" t="s">
        <v>1310</v>
      </c>
    </row>
    <row r="33" spans="1:17" ht="21.75" customHeight="1" x14ac:dyDescent="0.6">
      <c r="A33" s="736" t="s">
        <v>1271</v>
      </c>
    </row>
    <row r="34" spans="1:17" ht="21.75" customHeight="1" x14ac:dyDescent="0.6">
      <c r="B34" s="732" t="s">
        <v>1261</v>
      </c>
      <c r="D34" s="1476">
        <f>0.35*D6</f>
        <v>316302.22957254283</v>
      </c>
      <c r="E34" s="1476"/>
      <c r="F34" s="1476"/>
      <c r="G34" s="732" t="s">
        <v>1258</v>
      </c>
      <c r="I34" s="732" t="str">
        <f>BAHTTEXT(D34)</f>
        <v>สามแสนหนึ่งหมื่นหกพันสามร้อยสองบาทยี่สิบสามสตางค์</v>
      </c>
      <c r="P34" s="733"/>
      <c r="Q34" s="733" t="s">
        <v>1274</v>
      </c>
    </row>
    <row r="35" spans="1:17" ht="21.75" customHeight="1" x14ac:dyDescent="0.6">
      <c r="D35" s="1111"/>
      <c r="E35" s="1111"/>
      <c r="F35" s="1111"/>
      <c r="P35" s="733"/>
      <c r="Q35" s="733"/>
    </row>
    <row r="36" spans="1:17" ht="21.75" customHeight="1" x14ac:dyDescent="0.6">
      <c r="D36" s="1111"/>
      <c r="E36" s="1111"/>
      <c r="F36" s="1111"/>
      <c r="P36" s="733"/>
      <c r="Q36" s="733"/>
    </row>
    <row r="37" spans="1:17" ht="21.75" customHeight="1" x14ac:dyDescent="0.6">
      <c r="B37" s="735" t="s">
        <v>1272</v>
      </c>
    </row>
    <row r="38" spans="1:17" ht="21.75" customHeight="1" x14ac:dyDescent="0.6">
      <c r="C38" s="732" t="s">
        <v>1261</v>
      </c>
      <c r="E38" s="1475" t="s">
        <v>1273</v>
      </c>
      <c r="F38" s="1475"/>
      <c r="G38" s="732" t="s">
        <v>1265</v>
      </c>
      <c r="Q38" s="733" t="s">
        <v>1274</v>
      </c>
    </row>
    <row r="39" spans="1:17" ht="21.75" customHeight="1" x14ac:dyDescent="0.6">
      <c r="C39" s="732" t="s">
        <v>1671</v>
      </c>
    </row>
    <row r="40" spans="1:17" ht="21.75" customHeight="1" x14ac:dyDescent="0.6">
      <c r="C40" s="732" t="s">
        <v>1275</v>
      </c>
    </row>
    <row r="41" spans="1:17" ht="21.75" customHeight="1" x14ac:dyDescent="0.6">
      <c r="C41" s="732" t="s">
        <v>1672</v>
      </c>
    </row>
    <row r="42" spans="1:17" ht="21.75" customHeight="1" x14ac:dyDescent="0.6">
      <c r="C42" s="732" t="s">
        <v>1562</v>
      </c>
    </row>
    <row r="43" spans="1:17" ht="21.75" customHeight="1" x14ac:dyDescent="0.6">
      <c r="C43" s="732" t="s">
        <v>1673</v>
      </c>
    </row>
    <row r="44" spans="1:17" ht="21.75" customHeight="1" x14ac:dyDescent="0.6">
      <c r="C44" s="732" t="s">
        <v>1615</v>
      </c>
    </row>
    <row r="45" spans="1:17" ht="21.75" customHeight="1" x14ac:dyDescent="0.6">
      <c r="C45" s="732" t="s">
        <v>1563</v>
      </c>
    </row>
    <row r="46" spans="1:17" ht="21.75" customHeight="1" x14ac:dyDescent="0.6">
      <c r="C46" s="732" t="s">
        <v>1616</v>
      </c>
    </row>
    <row r="47" spans="1:17" ht="21.75" customHeight="1" x14ac:dyDescent="0.6">
      <c r="C47" s="732" t="s">
        <v>1564</v>
      </c>
    </row>
    <row r="48" spans="1:17" ht="21.75" customHeight="1" x14ac:dyDescent="0.4">
      <c r="C48" s="355" t="s">
        <v>1617</v>
      </c>
    </row>
    <row r="49" spans="1:17" ht="21.75" customHeight="1" x14ac:dyDescent="0.6">
      <c r="A49" s="732" t="s">
        <v>1565</v>
      </c>
    </row>
    <row r="51" spans="1:17" ht="21.75" customHeight="1" x14ac:dyDescent="0.6">
      <c r="A51" s="737" t="s">
        <v>1618</v>
      </c>
    </row>
    <row r="52" spans="1:17" ht="21.75" customHeight="1" x14ac:dyDescent="0.6">
      <c r="B52" s="732" t="s">
        <v>1261</v>
      </c>
      <c r="D52" s="1476">
        <f>0.45*D6</f>
        <v>406674.29516469792</v>
      </c>
      <c r="E52" s="1476"/>
      <c r="F52" s="1476"/>
      <c r="G52" s="732" t="s">
        <v>1258</v>
      </c>
      <c r="I52" s="732" t="str">
        <f>BAHTTEXT(D52)</f>
        <v>สี่แสนหกพันหกร้อยเจ็ดสิบสี่บาทสามสิบสตางค์</v>
      </c>
      <c r="Q52" s="733" t="s">
        <v>1276</v>
      </c>
    </row>
    <row r="53" spans="1:17" ht="21.75" customHeight="1" x14ac:dyDescent="0.6">
      <c r="B53" s="735" t="s">
        <v>1277</v>
      </c>
    </row>
    <row r="54" spans="1:17" ht="21.75" customHeight="1" x14ac:dyDescent="0.6">
      <c r="C54" s="732" t="s">
        <v>1261</v>
      </c>
      <c r="E54" s="1475" t="s">
        <v>1278</v>
      </c>
      <c r="F54" s="1475"/>
      <c r="G54" s="732" t="s">
        <v>1279</v>
      </c>
      <c r="Q54" s="733" t="s">
        <v>1280</v>
      </c>
    </row>
    <row r="55" spans="1:17" ht="21.75" customHeight="1" x14ac:dyDescent="0.6">
      <c r="C55" s="732" t="s">
        <v>1619</v>
      </c>
    </row>
    <row r="56" spans="1:17" ht="21.75" customHeight="1" x14ac:dyDescent="0.6">
      <c r="C56" s="732" t="s">
        <v>1282</v>
      </c>
    </row>
    <row r="57" spans="1:17" ht="21.75" customHeight="1" x14ac:dyDescent="0.6">
      <c r="C57" s="732" t="s">
        <v>1281</v>
      </c>
    </row>
    <row r="58" spans="1:17" ht="21.75" customHeight="1" x14ac:dyDescent="0.6">
      <c r="C58" s="732" t="s">
        <v>1620</v>
      </c>
    </row>
    <row r="59" spans="1:17" ht="21.75" customHeight="1" x14ac:dyDescent="0.6">
      <c r="C59" s="732" t="s">
        <v>1566</v>
      </c>
    </row>
    <row r="60" spans="1:17" ht="21.75" customHeight="1" x14ac:dyDescent="0.6">
      <c r="C60" s="732" t="s">
        <v>1281</v>
      </c>
    </row>
    <row r="61" spans="1:17" ht="21.75" customHeight="1" x14ac:dyDescent="0.6">
      <c r="C61" s="732" t="s">
        <v>1621</v>
      </c>
      <c r="E61" s="359"/>
      <c r="F61" s="359"/>
      <c r="Q61" s="733"/>
    </row>
    <row r="62" spans="1:17" ht="21.75" customHeight="1" x14ac:dyDescent="0.6">
      <c r="C62" s="732" t="s">
        <v>1283</v>
      </c>
    </row>
    <row r="63" spans="1:17" ht="21.75" customHeight="1" x14ac:dyDescent="0.6">
      <c r="C63" s="732" t="s">
        <v>1284</v>
      </c>
    </row>
    <row r="64" spans="1:17" ht="21.75" customHeight="1" x14ac:dyDescent="0.6">
      <c r="C64" s="732" t="s">
        <v>1674</v>
      </c>
      <c r="E64" s="359"/>
      <c r="F64" s="359"/>
      <c r="Q64" s="733"/>
    </row>
    <row r="65" spans="3:3" ht="21.75" customHeight="1" x14ac:dyDescent="0.6">
      <c r="C65" s="732" t="s">
        <v>1285</v>
      </c>
    </row>
    <row r="66" spans="3:3" ht="21.75" customHeight="1" x14ac:dyDescent="0.6">
      <c r="C66" s="732" t="s">
        <v>1286</v>
      </c>
    </row>
    <row r="67" spans="3:3" ht="21.75" customHeight="1" x14ac:dyDescent="0.6">
      <c r="C67" s="732" t="s">
        <v>1287</v>
      </c>
    </row>
    <row r="68" spans="3:3" ht="21.75" customHeight="1" x14ac:dyDescent="0.6">
      <c r="C68" s="732" t="s">
        <v>1622</v>
      </c>
    </row>
    <row r="69" spans="3:3" ht="21.75" customHeight="1" x14ac:dyDescent="0.6">
      <c r="C69" s="732" t="s">
        <v>1289</v>
      </c>
    </row>
    <row r="70" spans="3:3" ht="21.75" customHeight="1" x14ac:dyDescent="0.6">
      <c r="C70" s="732" t="s">
        <v>1288</v>
      </c>
    </row>
    <row r="73" spans="3:3" ht="21.75" customHeight="1" x14ac:dyDescent="0.6">
      <c r="C73" s="732" t="s">
        <v>1623</v>
      </c>
    </row>
    <row r="74" spans="3:3" ht="21.75" customHeight="1" x14ac:dyDescent="0.6">
      <c r="C74" s="732" t="s">
        <v>1567</v>
      </c>
    </row>
    <row r="75" spans="3:3" ht="21.75" customHeight="1" x14ac:dyDescent="0.6">
      <c r="C75" s="732" t="s">
        <v>1290</v>
      </c>
    </row>
    <row r="76" spans="3:3" ht="21.75" customHeight="1" x14ac:dyDescent="0.6">
      <c r="C76" s="732" t="s">
        <v>1675</v>
      </c>
    </row>
    <row r="77" spans="3:3" ht="21.75" customHeight="1" x14ac:dyDescent="0.6">
      <c r="C77" s="732" t="s">
        <v>1291</v>
      </c>
    </row>
    <row r="78" spans="3:3" ht="21.75" customHeight="1" x14ac:dyDescent="0.6">
      <c r="C78" s="732" t="s">
        <v>1281</v>
      </c>
    </row>
    <row r="79" spans="3:3" ht="21.75" customHeight="1" x14ac:dyDescent="0.6">
      <c r="C79" s="732" t="s">
        <v>1676</v>
      </c>
    </row>
    <row r="80" spans="3:3" ht="21.75" customHeight="1" x14ac:dyDescent="0.6">
      <c r="C80" s="732" t="s">
        <v>1624</v>
      </c>
    </row>
    <row r="81" spans="2:17" ht="21.75" customHeight="1" x14ac:dyDescent="0.6">
      <c r="C81" s="732" t="s">
        <v>1291</v>
      </c>
    </row>
    <row r="82" spans="2:17" ht="21.75" customHeight="1" x14ac:dyDescent="0.6">
      <c r="C82" s="732" t="s">
        <v>1281</v>
      </c>
    </row>
    <row r="83" spans="2:17" ht="21.75" customHeight="1" x14ac:dyDescent="0.6">
      <c r="C83" s="732" t="s">
        <v>1626</v>
      </c>
    </row>
    <row r="84" spans="2:17" ht="21.75" customHeight="1" x14ac:dyDescent="0.6">
      <c r="C84" s="732" t="s">
        <v>1292</v>
      </c>
    </row>
    <row r="85" spans="2:17" ht="21.75" customHeight="1" x14ac:dyDescent="0.6">
      <c r="C85" s="732" t="s">
        <v>1293</v>
      </c>
    </row>
    <row r="86" spans="2:17" ht="21.75" customHeight="1" x14ac:dyDescent="0.6">
      <c r="C86" s="732" t="s">
        <v>1625</v>
      </c>
    </row>
    <row r="87" spans="2:17" ht="21.75" customHeight="1" x14ac:dyDescent="0.6">
      <c r="C87" s="732" t="s">
        <v>1294</v>
      </c>
    </row>
    <row r="88" spans="2:17" ht="21.75" customHeight="1" x14ac:dyDescent="0.6">
      <c r="C88" s="732" t="s">
        <v>1281</v>
      </c>
    </row>
    <row r="89" spans="2:17" ht="21.75" customHeight="1" x14ac:dyDescent="0.6">
      <c r="B89" s="735" t="s">
        <v>1295</v>
      </c>
    </row>
    <row r="90" spans="2:17" ht="21.75" customHeight="1" x14ac:dyDescent="0.6">
      <c r="C90" s="732" t="s">
        <v>1261</v>
      </c>
      <c r="E90" s="1475" t="s">
        <v>1270</v>
      </c>
      <c r="F90" s="1475"/>
      <c r="G90" s="732" t="s">
        <v>1265</v>
      </c>
      <c r="Q90" s="733" t="s">
        <v>1296</v>
      </c>
    </row>
    <row r="91" spans="2:17" ht="21.75" customHeight="1" x14ac:dyDescent="0.6">
      <c r="C91" s="732" t="s">
        <v>1627</v>
      </c>
    </row>
    <row r="92" spans="2:17" ht="21.75" customHeight="1" x14ac:dyDescent="0.6">
      <c r="C92" s="732" t="s">
        <v>1629</v>
      </c>
    </row>
    <row r="93" spans="2:17" ht="21.75" customHeight="1" x14ac:dyDescent="0.6">
      <c r="C93" s="732" t="s">
        <v>1628</v>
      </c>
    </row>
    <row r="94" spans="2:17" ht="21.75" customHeight="1" x14ac:dyDescent="0.6">
      <c r="C94" s="732" t="s">
        <v>1570</v>
      </c>
    </row>
    <row r="95" spans="2:17" ht="21.75" customHeight="1" x14ac:dyDescent="0.6">
      <c r="C95" s="732" t="s">
        <v>1630</v>
      </c>
    </row>
    <row r="96" spans="2:17" ht="21.75" customHeight="1" x14ac:dyDescent="0.6">
      <c r="C96" s="732" t="s">
        <v>1569</v>
      </c>
    </row>
    <row r="97" spans="1:3" ht="21.75" customHeight="1" x14ac:dyDescent="0.6">
      <c r="C97" s="732" t="s">
        <v>1297</v>
      </c>
    </row>
    <row r="98" spans="1:3" ht="21.75" customHeight="1" x14ac:dyDescent="0.6">
      <c r="C98" s="732" t="s">
        <v>1298</v>
      </c>
    </row>
    <row r="99" spans="1:3" ht="21.75" customHeight="1" x14ac:dyDescent="0.6">
      <c r="C99" s="732" t="s">
        <v>1571</v>
      </c>
    </row>
    <row r="100" spans="1:3" ht="21.75" customHeight="1" x14ac:dyDescent="0.6">
      <c r="C100" s="732" t="s">
        <v>1568</v>
      </c>
    </row>
    <row r="101" spans="1:3" ht="21.75" customHeight="1" x14ac:dyDescent="0.6">
      <c r="C101" s="732" t="s">
        <v>1299</v>
      </c>
    </row>
    <row r="102" spans="1:3" ht="21.75" customHeight="1" x14ac:dyDescent="0.6">
      <c r="C102" s="732" t="s">
        <v>1300</v>
      </c>
    </row>
    <row r="103" spans="1:3" ht="21.75" customHeight="1" x14ac:dyDescent="0.6">
      <c r="C103" s="732" t="s">
        <v>1301</v>
      </c>
    </row>
    <row r="104" spans="1:3" ht="21.75" customHeight="1" x14ac:dyDescent="0.6">
      <c r="C104" s="732" t="s">
        <v>1298</v>
      </c>
    </row>
    <row r="105" spans="1:3" ht="21.75" customHeight="1" x14ac:dyDescent="0.6">
      <c r="C105" s="732" t="s">
        <v>1631</v>
      </c>
    </row>
    <row r="106" spans="1:3" ht="21.75" customHeight="1" x14ac:dyDescent="0.6">
      <c r="C106" s="732" t="s">
        <v>1302</v>
      </c>
    </row>
    <row r="107" spans="1:3" ht="21.75" customHeight="1" x14ac:dyDescent="0.6">
      <c r="C107" s="732" t="s">
        <v>1303</v>
      </c>
    </row>
    <row r="109" spans="1:3" ht="21.75" customHeight="1" x14ac:dyDescent="0.6">
      <c r="A109" s="733" t="s">
        <v>418</v>
      </c>
      <c r="B109" s="732" t="s">
        <v>1572</v>
      </c>
    </row>
    <row r="110" spans="1:3" ht="21.75" customHeight="1" x14ac:dyDescent="0.6">
      <c r="B110" s="732" t="s">
        <v>1573</v>
      </c>
    </row>
    <row r="111" spans="1:3" ht="21.75" customHeight="1" x14ac:dyDescent="0.6">
      <c r="B111" s="732" t="s">
        <v>1574</v>
      </c>
    </row>
    <row r="112" spans="1:3" ht="21.75" customHeight="1" x14ac:dyDescent="0.6">
      <c r="A112" s="733" t="s">
        <v>418</v>
      </c>
      <c r="B112" s="732" t="s">
        <v>1304</v>
      </c>
    </row>
    <row r="113" spans="1:20" ht="21.75" customHeight="1" x14ac:dyDescent="0.6">
      <c r="B113" s="732" t="s">
        <v>1305</v>
      </c>
    </row>
    <row r="114" spans="1:20" ht="21.75" customHeight="1" x14ac:dyDescent="0.6">
      <c r="A114" s="733" t="s">
        <v>418</v>
      </c>
      <c r="B114" s="732" t="s">
        <v>1306</v>
      </c>
    </row>
    <row r="115" spans="1:20" ht="21.75" customHeight="1" x14ac:dyDescent="0.6">
      <c r="A115" s="732" t="s">
        <v>1311</v>
      </c>
    </row>
    <row r="117" spans="1:20" ht="21.75" customHeight="1" x14ac:dyDescent="0.6">
      <c r="A117" s="732" t="s">
        <v>1307</v>
      </c>
    </row>
    <row r="118" spans="1:20" ht="21.75" customHeight="1" x14ac:dyDescent="0.6">
      <c r="A118" s="732" t="s">
        <v>1308</v>
      </c>
    </row>
    <row r="120" spans="1:20" ht="21.75" customHeight="1" x14ac:dyDescent="0.6">
      <c r="J120" s="732" t="s">
        <v>1309</v>
      </c>
    </row>
    <row r="121" spans="1:20" ht="21.75" customHeight="1" x14ac:dyDescent="0.6">
      <c r="K121" s="732" t="s">
        <v>191</v>
      </c>
    </row>
    <row r="124" spans="1:20" ht="21.75" customHeight="1" x14ac:dyDescent="0.6">
      <c r="I124" s="738"/>
      <c r="J124" s="738"/>
      <c r="K124" s="738"/>
      <c r="L124" s="738"/>
      <c r="M124" s="738"/>
      <c r="N124" s="738"/>
      <c r="O124" s="738"/>
      <c r="P124" s="738"/>
      <c r="Q124" s="738"/>
      <c r="R124" s="738"/>
      <c r="S124" s="738"/>
      <c r="T124" s="738"/>
    </row>
    <row r="125" spans="1:20" ht="21.75" customHeight="1" x14ac:dyDescent="0.6">
      <c r="I125" s="738"/>
      <c r="J125" s="738"/>
      <c r="K125" s="738"/>
      <c r="L125" s="738"/>
      <c r="M125" s="738"/>
      <c r="N125" s="738"/>
      <c r="O125" s="738"/>
      <c r="P125" s="738"/>
      <c r="Q125" s="738"/>
      <c r="R125" s="738"/>
      <c r="S125" s="738"/>
      <c r="T125" s="738"/>
    </row>
    <row r="126" spans="1:20" ht="21.75" customHeight="1" x14ac:dyDescent="0.6">
      <c r="I126" s="738"/>
      <c r="J126" s="738"/>
      <c r="K126" s="738"/>
      <c r="L126" s="738"/>
      <c r="M126" s="738"/>
      <c r="N126" s="738"/>
      <c r="O126" s="738"/>
      <c r="P126" s="738"/>
      <c r="Q126" s="738"/>
      <c r="R126" s="738"/>
      <c r="S126" s="738"/>
      <c r="T126" s="738"/>
    </row>
    <row r="127" spans="1:20" ht="21.75" customHeight="1" x14ac:dyDescent="0.6">
      <c r="I127" s="738"/>
      <c r="J127" s="738"/>
      <c r="K127" s="738"/>
      <c r="L127" s="738"/>
      <c r="M127" s="738"/>
      <c r="N127" s="738"/>
      <c r="O127" s="738"/>
      <c r="P127" s="738"/>
      <c r="Q127" s="738"/>
      <c r="R127" s="738"/>
      <c r="S127" s="738"/>
      <c r="T127" s="738"/>
    </row>
    <row r="128" spans="1:20" ht="21.75" customHeight="1" x14ac:dyDescent="0.6">
      <c r="I128" s="738"/>
      <c r="J128" s="738"/>
      <c r="K128" s="738"/>
      <c r="L128" s="738"/>
      <c r="M128" s="738"/>
      <c r="N128" s="738"/>
      <c r="O128" s="738"/>
      <c r="P128" s="738"/>
      <c r="Q128" s="738"/>
      <c r="R128" s="738"/>
      <c r="S128" s="738"/>
      <c r="T128" s="738"/>
    </row>
  </sheetData>
  <mergeCells count="8">
    <mergeCell ref="E54:F54"/>
    <mergeCell ref="E90:F90"/>
    <mergeCell ref="D6:F6"/>
    <mergeCell ref="D10:F10"/>
    <mergeCell ref="D34:F34"/>
    <mergeCell ref="D52:F52"/>
    <mergeCell ref="E12:F12"/>
    <mergeCell ref="E38:F38"/>
  </mergeCells>
  <pageMargins left="1" right="0.5" top="1" bottom="0.5" header="0.5" footer="0.3"/>
  <pageSetup paperSize="9" orientation="portrait" r:id="rId1"/>
  <headerFooter>
    <oddHeader>&amp;R&amp;"TH SarabunIT๙,ตัวเอียงหนา"บ้านบางสามัคคี แผ่นที่ &amp;P/๕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opLeftCell="A31" workbookViewId="0">
      <selection activeCell="B15" sqref="B15"/>
    </sheetView>
  </sheetViews>
  <sheetFormatPr defaultColWidth="9.125" defaultRowHeight="15.6" x14ac:dyDescent="0.3"/>
  <cols>
    <col min="1" max="1" width="4.375" style="707" customWidth="1"/>
    <col min="2" max="5" width="9.125" style="707"/>
    <col min="6" max="6" width="24.375" style="707" customWidth="1"/>
    <col min="7" max="8" width="5.75" style="707" customWidth="1"/>
    <col min="9" max="9" width="5.875" style="707" customWidth="1"/>
    <col min="10" max="10" width="6.625" style="707" customWidth="1"/>
    <col min="11" max="12" width="5.375" style="707" customWidth="1"/>
    <col min="13" max="13" width="5.875" style="707" customWidth="1"/>
    <col min="14" max="14" width="6.625" style="707" customWidth="1"/>
    <col min="15" max="16" width="5.375" style="707" customWidth="1"/>
    <col min="17" max="17" width="5.875" style="707" customWidth="1"/>
    <col min="18" max="18" width="6.625" style="707" customWidth="1"/>
    <col min="19" max="20" width="5.375" style="707" customWidth="1"/>
    <col min="21" max="21" width="1" style="707" customWidth="1"/>
    <col min="22" max="22" width="1.125" style="707" customWidth="1"/>
    <col min="23" max="24" width="7.25" style="708" customWidth="1"/>
    <col min="25" max="38" width="5.75" style="707" customWidth="1"/>
    <col min="39" max="16384" width="9.125" style="707"/>
  </cols>
  <sheetData>
    <row r="1" spans="1:24" s="368" customFormat="1" ht="30.75" customHeight="1" x14ac:dyDescent="0.4">
      <c r="B1" s="757" t="s">
        <v>1244</v>
      </c>
      <c r="F1" s="757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W1" s="706"/>
      <c r="X1" s="706"/>
    </row>
    <row r="2" spans="1:24" s="440" customFormat="1" ht="21.75" customHeight="1" x14ac:dyDescent="0.35">
      <c r="A2" s="712" t="s">
        <v>985</v>
      </c>
      <c r="B2" s="1487" t="s">
        <v>125</v>
      </c>
      <c r="C2" s="1488"/>
      <c r="D2" s="1488"/>
      <c r="E2" s="1488"/>
      <c r="F2" s="1489"/>
      <c r="G2" s="1493" t="s">
        <v>857</v>
      </c>
      <c r="H2" s="1494"/>
      <c r="I2" s="1480" t="s">
        <v>1250</v>
      </c>
      <c r="J2" s="1495"/>
      <c r="K2" s="1495"/>
      <c r="L2" s="1481"/>
      <c r="M2" s="1480" t="s">
        <v>1549</v>
      </c>
      <c r="N2" s="1495"/>
      <c r="O2" s="1495"/>
      <c r="P2" s="1481"/>
      <c r="Q2" s="1480" t="s">
        <v>1550</v>
      </c>
      <c r="R2" s="1495"/>
      <c r="S2" s="1495"/>
      <c r="T2" s="1481"/>
      <c r="W2" s="713"/>
      <c r="X2" s="713"/>
    </row>
    <row r="3" spans="1:24" s="440" customFormat="1" ht="21.75" customHeight="1" x14ac:dyDescent="0.35">
      <c r="A3" s="714" t="s">
        <v>984</v>
      </c>
      <c r="B3" s="1490"/>
      <c r="C3" s="1491"/>
      <c r="D3" s="1491"/>
      <c r="E3" s="1491"/>
      <c r="F3" s="1492"/>
      <c r="G3" s="1496" t="s">
        <v>612</v>
      </c>
      <c r="H3" s="1497"/>
      <c r="I3" s="715" t="s">
        <v>1245</v>
      </c>
      <c r="J3" s="716" t="s">
        <v>1246</v>
      </c>
      <c r="K3" s="1480" t="s">
        <v>1251</v>
      </c>
      <c r="L3" s="1481"/>
      <c r="M3" s="715" t="s">
        <v>1245</v>
      </c>
      <c r="N3" s="396" t="s">
        <v>1246</v>
      </c>
      <c r="O3" s="1480" t="s">
        <v>1251</v>
      </c>
      <c r="P3" s="1481"/>
      <c r="Q3" s="715" t="s">
        <v>1245</v>
      </c>
      <c r="R3" s="396" t="s">
        <v>1246</v>
      </c>
      <c r="S3" s="1480" t="s">
        <v>1251</v>
      </c>
      <c r="T3" s="1481"/>
      <c r="W3" s="713"/>
      <c r="X3" s="713"/>
    </row>
    <row r="4" spans="1:24" s="440" customFormat="1" ht="21.75" customHeight="1" x14ac:dyDescent="0.35">
      <c r="A4" s="717">
        <v>1</v>
      </c>
      <c r="B4" s="718" t="s">
        <v>1247</v>
      </c>
      <c r="C4" s="718"/>
      <c r="D4" s="718"/>
      <c r="E4" s="718"/>
      <c r="F4" s="719"/>
      <c r="G4" s="720"/>
      <c r="H4" s="719"/>
      <c r="I4" s="721">
        <v>0.2</v>
      </c>
      <c r="J4" s="722"/>
      <c r="K4" s="1486" t="e">
        <f>I4*G22</f>
        <v>#REF!</v>
      </c>
      <c r="L4" s="1486"/>
      <c r="M4" s="721">
        <v>0.35</v>
      </c>
      <c r="N4" s="722"/>
      <c r="O4" s="1486" t="e">
        <f>M4*G22</f>
        <v>#REF!</v>
      </c>
      <c r="P4" s="1486"/>
      <c r="Q4" s="721">
        <v>0.45</v>
      </c>
      <c r="R4" s="722"/>
      <c r="S4" s="1486" t="e">
        <f>Q4*G22</f>
        <v>#REF!</v>
      </c>
      <c r="T4" s="1486"/>
      <c r="W4" s="1482">
        <f>I4+M4+Q4</f>
        <v>1</v>
      </c>
      <c r="X4" s="1482"/>
    </row>
    <row r="5" spans="1:24" s="440" customFormat="1" ht="21.75" customHeight="1" x14ac:dyDescent="0.35">
      <c r="A5" s="723"/>
      <c r="B5" s="709" t="s">
        <v>1436</v>
      </c>
      <c r="C5" s="724"/>
      <c r="D5" s="724"/>
      <c r="E5" s="724"/>
      <c r="F5" s="725"/>
      <c r="G5" s="1483">
        <f>ปร.5!L15</f>
        <v>5683.556109000001</v>
      </c>
      <c r="H5" s="1484"/>
      <c r="I5" s="726"/>
      <c r="J5" s="727"/>
      <c r="K5" s="1485" t="e">
        <f t="shared" ref="K5:K16" si="0">J5*$K$4</f>
        <v>#REF!</v>
      </c>
      <c r="L5" s="1485"/>
      <c r="M5" s="726"/>
      <c r="N5" s="727"/>
      <c r="O5" s="1485" t="e">
        <f t="shared" ref="O5:O16" si="1">N5*$O$4</f>
        <v>#REF!</v>
      </c>
      <c r="P5" s="1485"/>
      <c r="Q5" s="726"/>
      <c r="R5" s="727">
        <v>8.0000000000000002E-3</v>
      </c>
      <c r="S5" s="1485" t="e">
        <f t="shared" ref="S5:S16" si="2">R5*$S$4</f>
        <v>#REF!</v>
      </c>
      <c r="T5" s="1485"/>
      <c r="W5" s="1482" t="e">
        <f t="shared" ref="W5:W22" si="3">K5+O5+S5</f>
        <v>#REF!</v>
      </c>
      <c r="X5" s="1482"/>
    </row>
    <row r="6" spans="1:24" s="440" customFormat="1" ht="21.75" customHeight="1" x14ac:dyDescent="0.35">
      <c r="A6" s="723"/>
      <c r="B6" s="710" t="s">
        <v>1576</v>
      </c>
      <c r="C6" s="724"/>
      <c r="D6" s="724"/>
      <c r="E6" s="724"/>
      <c r="F6" s="725"/>
      <c r="G6" s="1483">
        <f>ปร.5!L16</f>
        <v>26740.068957000003</v>
      </c>
      <c r="H6" s="1484"/>
      <c r="I6" s="726"/>
      <c r="J6" s="727"/>
      <c r="K6" s="1485" t="e">
        <f t="shared" si="0"/>
        <v>#REF!</v>
      </c>
      <c r="L6" s="1485"/>
      <c r="M6" s="726"/>
      <c r="N6" s="727"/>
      <c r="O6" s="1485" t="e">
        <f t="shared" si="1"/>
        <v>#REF!</v>
      </c>
      <c r="P6" s="1485"/>
      <c r="Q6" s="726"/>
      <c r="R6" s="727">
        <v>4.2000000000000003E-2</v>
      </c>
      <c r="S6" s="1485" t="e">
        <f t="shared" si="2"/>
        <v>#REF!</v>
      </c>
      <c r="T6" s="1485"/>
      <c r="W6" s="1482" t="e">
        <f t="shared" si="3"/>
        <v>#REF!</v>
      </c>
      <c r="X6" s="1482"/>
    </row>
    <row r="7" spans="1:24" s="440" customFormat="1" ht="21.75" customHeight="1" x14ac:dyDescent="0.35">
      <c r="A7" s="723"/>
      <c r="B7" s="710" t="s">
        <v>1577</v>
      </c>
      <c r="C7" s="724"/>
      <c r="D7" s="724"/>
      <c r="E7" s="724"/>
      <c r="F7" s="725"/>
      <c r="G7" s="1483">
        <f>ปร.5!L17</f>
        <v>0</v>
      </c>
      <c r="H7" s="1484"/>
      <c r="I7" s="726"/>
      <c r="J7" s="727"/>
      <c r="K7" s="1485" t="e">
        <f t="shared" si="0"/>
        <v>#REF!</v>
      </c>
      <c r="L7" s="1485"/>
      <c r="M7" s="726"/>
      <c r="N7" s="727"/>
      <c r="O7" s="1485" t="e">
        <f t="shared" si="1"/>
        <v>#REF!</v>
      </c>
      <c r="P7" s="1485"/>
      <c r="Q7" s="726"/>
      <c r="R7" s="727">
        <v>5.1999999999999998E-2</v>
      </c>
      <c r="S7" s="1485" t="e">
        <f t="shared" si="2"/>
        <v>#REF!</v>
      </c>
      <c r="T7" s="1485"/>
      <c r="W7" s="1482" t="e">
        <f t="shared" si="3"/>
        <v>#REF!</v>
      </c>
      <c r="X7" s="1482"/>
    </row>
    <row r="8" spans="1:24" s="440" customFormat="1" ht="21.75" customHeight="1" x14ac:dyDescent="0.35">
      <c r="A8" s="723"/>
      <c r="B8" s="710" t="s">
        <v>1664</v>
      </c>
      <c r="C8" s="724"/>
      <c r="D8" s="724"/>
      <c r="E8" s="724"/>
      <c r="F8" s="725"/>
      <c r="G8" s="1483">
        <f>ปร.5!L18</f>
        <v>17662.05</v>
      </c>
      <c r="H8" s="1484"/>
      <c r="I8" s="726"/>
      <c r="J8" s="727"/>
      <c r="K8" s="1485" t="e">
        <f t="shared" si="0"/>
        <v>#REF!</v>
      </c>
      <c r="L8" s="1485"/>
      <c r="M8" s="726"/>
      <c r="N8" s="727"/>
      <c r="O8" s="1485" t="e">
        <f t="shared" si="1"/>
        <v>#REF!</v>
      </c>
      <c r="P8" s="1485"/>
      <c r="Q8" s="726"/>
      <c r="R8" s="727">
        <v>1.7999999999999999E-2</v>
      </c>
      <c r="S8" s="1485" t="e">
        <f t="shared" si="2"/>
        <v>#REF!</v>
      </c>
      <c r="T8" s="1485"/>
      <c r="W8" s="1482" t="e">
        <f t="shared" si="3"/>
        <v>#REF!</v>
      </c>
      <c r="X8" s="1482"/>
    </row>
    <row r="9" spans="1:24" s="440" customFormat="1" ht="21.75" customHeight="1" x14ac:dyDescent="0.35">
      <c r="A9" s="723"/>
      <c r="B9" s="710" t="s">
        <v>986</v>
      </c>
      <c r="C9" s="724"/>
      <c r="D9" s="724"/>
      <c r="E9" s="724"/>
      <c r="F9" s="725"/>
      <c r="G9" s="1483">
        <f>ปร.5!L19</f>
        <v>9488.4457500000008</v>
      </c>
      <c r="H9" s="1484"/>
      <c r="I9" s="726"/>
      <c r="J9" s="727">
        <v>5.0000000000000001E-3</v>
      </c>
      <c r="K9" s="1485" t="e">
        <f t="shared" si="0"/>
        <v>#REF!</v>
      </c>
      <c r="L9" s="1485"/>
      <c r="M9" s="726"/>
      <c r="N9" s="727"/>
      <c r="O9" s="1485" t="e">
        <f t="shared" si="1"/>
        <v>#REF!</v>
      </c>
      <c r="P9" s="1485"/>
      <c r="Q9" s="726"/>
      <c r="R9" s="727">
        <v>1E-3</v>
      </c>
      <c r="S9" s="1485" t="e">
        <f t="shared" si="2"/>
        <v>#REF!</v>
      </c>
      <c r="T9" s="1485"/>
      <c r="W9" s="1482" t="e">
        <f t="shared" si="3"/>
        <v>#REF!</v>
      </c>
      <c r="X9" s="1482"/>
    </row>
    <row r="10" spans="1:24" s="440" customFormat="1" ht="21.75" customHeight="1" x14ac:dyDescent="0.35">
      <c r="A10" s="723"/>
      <c r="B10" s="711" t="s">
        <v>987</v>
      </c>
      <c r="C10" s="724"/>
      <c r="D10" s="724"/>
      <c r="E10" s="724"/>
      <c r="F10" s="725"/>
      <c r="G10" s="1483">
        <f>ปร.5!L20</f>
        <v>272309.27535147005</v>
      </c>
      <c r="H10" s="1484"/>
      <c r="I10" s="726"/>
      <c r="J10" s="727">
        <v>6.4000000000000001E-2</v>
      </c>
      <c r="K10" s="1485" t="e">
        <f t="shared" si="0"/>
        <v>#REF!</v>
      </c>
      <c r="L10" s="1485"/>
      <c r="M10" s="726"/>
      <c r="N10" s="727"/>
      <c r="O10" s="1485" t="e">
        <f t="shared" si="1"/>
        <v>#REF!</v>
      </c>
      <c r="P10" s="1485"/>
      <c r="Q10" s="726"/>
      <c r="R10" s="727"/>
      <c r="S10" s="1485" t="e">
        <f t="shared" si="2"/>
        <v>#REF!</v>
      </c>
      <c r="T10" s="1485"/>
      <c r="W10" s="1482" t="e">
        <f t="shared" si="3"/>
        <v>#REF!</v>
      </c>
      <c r="X10" s="1482"/>
    </row>
    <row r="11" spans="1:24" s="440" customFormat="1" ht="21.75" customHeight="1" x14ac:dyDescent="0.35">
      <c r="A11" s="723"/>
      <c r="B11" s="710" t="s">
        <v>988</v>
      </c>
      <c r="C11" s="724"/>
      <c r="D11" s="724"/>
      <c r="E11" s="728"/>
      <c r="F11" s="729"/>
      <c r="G11" s="1483">
        <f>ปร.5!L21</f>
        <v>81272.198498315993</v>
      </c>
      <c r="H11" s="1484"/>
      <c r="I11" s="726"/>
      <c r="J11" s="727"/>
      <c r="K11" s="1485" t="e">
        <f t="shared" si="0"/>
        <v>#REF!</v>
      </c>
      <c r="L11" s="1485"/>
      <c r="M11" s="726"/>
      <c r="N11" s="727"/>
      <c r="O11" s="1485" t="e">
        <f t="shared" si="1"/>
        <v>#REF!</v>
      </c>
      <c r="P11" s="1485"/>
      <c r="Q11" s="726"/>
      <c r="R11" s="727">
        <v>1.9E-2</v>
      </c>
      <c r="S11" s="1485" t="e">
        <f t="shared" si="2"/>
        <v>#REF!</v>
      </c>
      <c r="T11" s="1485"/>
      <c r="W11" s="1482" t="e">
        <f t="shared" si="3"/>
        <v>#REF!</v>
      </c>
      <c r="X11" s="1482"/>
    </row>
    <row r="12" spans="1:24" s="440" customFormat="1" ht="21.75" customHeight="1" x14ac:dyDescent="0.35">
      <c r="A12" s="723"/>
      <c r="B12" s="710" t="s">
        <v>1665</v>
      </c>
      <c r="C12" s="724"/>
      <c r="D12" s="724"/>
      <c r="E12" s="724"/>
      <c r="F12" s="725"/>
      <c r="G12" s="1483">
        <f>ปร.5!L22</f>
        <v>422357.47447876498</v>
      </c>
      <c r="H12" s="1484"/>
      <c r="I12" s="726"/>
      <c r="J12" s="727">
        <v>0.621</v>
      </c>
      <c r="K12" s="1485" t="e">
        <f t="shared" si="0"/>
        <v>#REF!</v>
      </c>
      <c r="L12" s="1485"/>
      <c r="M12" s="726"/>
      <c r="N12" s="727">
        <v>5.2999999999999999E-2</v>
      </c>
      <c r="O12" s="1485" t="e">
        <f t="shared" si="1"/>
        <v>#REF!</v>
      </c>
      <c r="P12" s="1485"/>
      <c r="Q12" s="726"/>
      <c r="R12" s="727"/>
      <c r="S12" s="1485" t="e">
        <f t="shared" si="2"/>
        <v>#REF!</v>
      </c>
      <c r="T12" s="1485"/>
      <c r="W12" s="1482" t="e">
        <f t="shared" si="3"/>
        <v>#REF!</v>
      </c>
      <c r="X12" s="1482"/>
    </row>
    <row r="13" spans="1:24" s="440" customFormat="1" ht="21.75" customHeight="1" x14ac:dyDescent="0.35">
      <c r="A13" s="723"/>
      <c r="B13" s="710" t="s">
        <v>1666</v>
      </c>
      <c r="C13" s="724"/>
      <c r="D13" s="724"/>
      <c r="E13" s="724"/>
      <c r="F13" s="725"/>
      <c r="G13" s="1483">
        <f>ปร.5!L23</f>
        <v>1203.0341819999999</v>
      </c>
      <c r="H13" s="1484"/>
      <c r="I13" s="726"/>
      <c r="J13" s="727">
        <v>0.02</v>
      </c>
      <c r="K13" s="1485" t="e">
        <f t="shared" si="0"/>
        <v>#REF!</v>
      </c>
      <c r="L13" s="1485"/>
      <c r="M13" s="726"/>
      <c r="N13" s="727">
        <v>9.5000000000000001E-2</v>
      </c>
      <c r="O13" s="1485" t="e">
        <f t="shared" si="1"/>
        <v>#REF!</v>
      </c>
      <c r="P13" s="1485"/>
      <c r="Q13" s="726"/>
      <c r="R13" s="727">
        <v>2.1999999999999999E-2</v>
      </c>
      <c r="S13" s="1485" t="e">
        <f t="shared" si="2"/>
        <v>#REF!</v>
      </c>
      <c r="T13" s="1485"/>
      <c r="W13" s="1482" t="e">
        <f t="shared" si="3"/>
        <v>#REF!</v>
      </c>
      <c r="X13" s="1482"/>
    </row>
    <row r="14" spans="1:24" s="440" customFormat="1" ht="21.75" customHeight="1" x14ac:dyDescent="0.35">
      <c r="A14" s="723"/>
      <c r="B14" s="710" t="s">
        <v>1667</v>
      </c>
      <c r="C14" s="724"/>
      <c r="D14" s="724"/>
      <c r="E14" s="724"/>
      <c r="F14" s="725"/>
      <c r="G14" s="1483">
        <f>ปร.5!L24</f>
        <v>10485.566595</v>
      </c>
      <c r="H14" s="1484"/>
      <c r="I14" s="726"/>
      <c r="J14" s="727">
        <v>0.28999999999999998</v>
      </c>
      <c r="K14" s="1485" t="e">
        <f t="shared" si="0"/>
        <v>#REF!</v>
      </c>
      <c r="L14" s="1485"/>
      <c r="M14" s="726"/>
      <c r="N14" s="727">
        <v>0.57199999999999995</v>
      </c>
      <c r="O14" s="1485" t="e">
        <f t="shared" si="1"/>
        <v>#REF!</v>
      </c>
      <c r="P14" s="1485"/>
      <c r="Q14" s="726"/>
      <c r="R14" s="727">
        <v>5.7000000000000002E-2</v>
      </c>
      <c r="S14" s="1485" t="e">
        <f t="shared" si="2"/>
        <v>#REF!</v>
      </c>
      <c r="T14" s="1485"/>
      <c r="W14" s="1482" t="e">
        <f t="shared" si="3"/>
        <v>#REF!</v>
      </c>
      <c r="X14" s="1482"/>
    </row>
    <row r="15" spans="1:24" s="440" customFormat="1" ht="21.75" customHeight="1" x14ac:dyDescent="0.35">
      <c r="A15" s="723"/>
      <c r="B15" s="710" t="s">
        <v>1578</v>
      </c>
      <c r="C15" s="724"/>
      <c r="D15" s="724"/>
      <c r="E15" s="724"/>
      <c r="F15" s="725"/>
      <c r="G15" s="1483">
        <f>ปร.5!L25</f>
        <v>3000</v>
      </c>
      <c r="H15" s="1484"/>
      <c r="I15" s="726"/>
      <c r="J15" s="727"/>
      <c r="K15" s="1485" t="e">
        <f t="shared" si="0"/>
        <v>#REF!</v>
      </c>
      <c r="L15" s="1485"/>
      <c r="M15" s="726"/>
      <c r="N15" s="727"/>
      <c r="O15" s="1485" t="e">
        <f t="shared" si="1"/>
        <v>#REF!</v>
      </c>
      <c r="P15" s="1485"/>
      <c r="Q15" s="726"/>
      <c r="R15" s="727">
        <v>7.0000000000000001E-3</v>
      </c>
      <c r="S15" s="1485" t="e">
        <f t="shared" si="2"/>
        <v>#REF!</v>
      </c>
      <c r="T15" s="1485"/>
      <c r="W15" s="1482" t="e">
        <f t="shared" si="3"/>
        <v>#REF!</v>
      </c>
      <c r="X15" s="1482"/>
    </row>
    <row r="16" spans="1:24" s="440" customFormat="1" ht="21.75" customHeight="1" x14ac:dyDescent="0.35">
      <c r="A16" s="723"/>
      <c r="B16" s="710" t="s">
        <v>1589</v>
      </c>
      <c r="C16" s="724"/>
      <c r="D16" s="724"/>
      <c r="E16" s="724"/>
      <c r="F16" s="725"/>
      <c r="G16" s="1483" t="e">
        <f>ปร.5!#REF!</f>
        <v>#REF!</v>
      </c>
      <c r="H16" s="1484"/>
      <c r="I16" s="726"/>
      <c r="J16" s="727"/>
      <c r="K16" s="1485" t="e">
        <f t="shared" si="0"/>
        <v>#REF!</v>
      </c>
      <c r="L16" s="1485"/>
      <c r="M16" s="726"/>
      <c r="N16" s="727">
        <v>0.28000000000000003</v>
      </c>
      <c r="O16" s="1485" t="e">
        <f t="shared" si="1"/>
        <v>#REF!</v>
      </c>
      <c r="P16" s="1485"/>
      <c r="Q16" s="726"/>
      <c r="R16" s="727">
        <v>0.66500000000000004</v>
      </c>
      <c r="S16" s="1485" t="e">
        <f t="shared" si="2"/>
        <v>#REF!</v>
      </c>
      <c r="T16" s="1485"/>
      <c r="W16" s="1482" t="e">
        <f t="shared" si="3"/>
        <v>#REF!</v>
      </c>
      <c r="X16" s="1482"/>
    </row>
    <row r="17" spans="1:24" s="440" customFormat="1" ht="21.75" customHeight="1" x14ac:dyDescent="0.35">
      <c r="A17" s="723">
        <v>2</v>
      </c>
      <c r="B17" s="724" t="s">
        <v>845</v>
      </c>
      <c r="C17" s="724"/>
      <c r="D17" s="724"/>
      <c r="E17" s="724"/>
      <c r="F17" s="725"/>
      <c r="G17" s="1483"/>
      <c r="H17" s="1484"/>
      <c r="I17" s="726"/>
      <c r="J17" s="727"/>
      <c r="K17" s="1485"/>
      <c r="L17" s="1485"/>
      <c r="M17" s="726"/>
      <c r="N17" s="727"/>
      <c r="O17" s="1485"/>
      <c r="P17" s="1485"/>
      <c r="Q17" s="726"/>
      <c r="R17" s="727"/>
      <c r="S17" s="1485"/>
      <c r="T17" s="1485"/>
      <c r="W17" s="1482"/>
      <c r="X17" s="1482"/>
    </row>
    <row r="18" spans="1:24" s="440" customFormat="1" ht="21.75" customHeight="1" x14ac:dyDescent="0.35">
      <c r="A18" s="723"/>
      <c r="B18" s="710" t="s">
        <v>956</v>
      </c>
      <c r="C18" s="724"/>
      <c r="D18" s="724"/>
      <c r="E18" s="728"/>
      <c r="F18" s="729"/>
      <c r="G18" s="1483">
        <f>'ปร.5 (2)'!L18</f>
        <v>52768.97600000001</v>
      </c>
      <c r="H18" s="1484"/>
      <c r="I18" s="726"/>
      <c r="J18" s="727"/>
      <c r="K18" s="1485" t="e">
        <f>J18*$K$4</f>
        <v>#REF!</v>
      </c>
      <c r="L18" s="1485"/>
      <c r="M18" s="726"/>
      <c r="N18" s="727"/>
      <c r="O18" s="1485" t="e">
        <f>N18*$O$4</f>
        <v>#REF!</v>
      </c>
      <c r="P18" s="1485"/>
      <c r="Q18" s="726"/>
      <c r="R18" s="727">
        <v>7.4999999999999997E-2</v>
      </c>
      <c r="S18" s="1485" t="e">
        <f>R18*$S$4</f>
        <v>#REF!</v>
      </c>
      <c r="T18" s="1485"/>
      <c r="W18" s="1482" t="e">
        <f t="shared" si="3"/>
        <v>#REF!</v>
      </c>
      <c r="X18" s="1482"/>
    </row>
    <row r="19" spans="1:24" s="440" customFormat="1" ht="21.75" customHeight="1" x14ac:dyDescent="0.35">
      <c r="A19" s="723"/>
      <c r="B19" s="710" t="s">
        <v>1240</v>
      </c>
      <c r="C19" s="724"/>
      <c r="D19" s="724"/>
      <c r="E19" s="728"/>
      <c r="F19" s="729"/>
      <c r="G19" s="1483">
        <f>'ปร.5 (2)'!L19</f>
        <v>0</v>
      </c>
      <c r="H19" s="1484"/>
      <c r="I19" s="726"/>
      <c r="J19" s="727"/>
      <c r="K19" s="1485" t="e">
        <f>J19*$K$4</f>
        <v>#REF!</v>
      </c>
      <c r="L19" s="1485"/>
      <c r="M19" s="726"/>
      <c r="N19" s="727"/>
      <c r="O19" s="1485" t="e">
        <f>N19*$O$4</f>
        <v>#REF!</v>
      </c>
      <c r="P19" s="1485"/>
      <c r="Q19" s="726"/>
      <c r="R19" s="727">
        <v>1.4E-2</v>
      </c>
      <c r="S19" s="1485" t="e">
        <f>R19*$S$4</f>
        <v>#REF!</v>
      </c>
      <c r="T19" s="1485"/>
      <c r="W19" s="1482" t="e">
        <f t="shared" si="3"/>
        <v>#REF!</v>
      </c>
      <c r="X19" s="1482"/>
    </row>
    <row r="20" spans="1:24" s="440" customFormat="1" ht="21.75" customHeight="1" x14ac:dyDescent="0.35">
      <c r="A20" s="723"/>
      <c r="B20" s="710" t="s">
        <v>1241</v>
      </c>
      <c r="C20" s="724"/>
      <c r="D20" s="724"/>
      <c r="E20" s="728"/>
      <c r="F20" s="729"/>
      <c r="G20" s="1483">
        <f>'ปร.5 (2)'!L20</f>
        <v>0</v>
      </c>
      <c r="H20" s="1484"/>
      <c r="I20" s="726"/>
      <c r="J20" s="727"/>
      <c r="K20" s="1485" t="e">
        <f>J20*$K$4</f>
        <v>#REF!</v>
      </c>
      <c r="L20" s="1485"/>
      <c r="M20" s="726"/>
      <c r="N20" s="727"/>
      <c r="O20" s="1485" t="e">
        <f>N20*$O$4</f>
        <v>#REF!</v>
      </c>
      <c r="P20" s="1485"/>
      <c r="Q20" s="726"/>
      <c r="R20" s="727">
        <v>0.01</v>
      </c>
      <c r="S20" s="1485" t="e">
        <f>R20*$S$4</f>
        <v>#REF!</v>
      </c>
      <c r="T20" s="1485"/>
      <c r="W20" s="1482" t="e">
        <f t="shared" si="3"/>
        <v>#REF!</v>
      </c>
      <c r="X20" s="1482"/>
    </row>
    <row r="21" spans="1:24" s="440" customFormat="1" ht="21.75" customHeight="1" x14ac:dyDescent="0.35">
      <c r="A21" s="723"/>
      <c r="B21" s="436" t="s">
        <v>844</v>
      </c>
      <c r="C21" s="724"/>
      <c r="D21" s="724"/>
      <c r="E21" s="728"/>
      <c r="F21" s="729"/>
      <c r="G21" s="1483">
        <f>'ปร.5 (2)'!L21</f>
        <v>750</v>
      </c>
      <c r="H21" s="1484"/>
      <c r="I21" s="726"/>
      <c r="J21" s="727"/>
      <c r="K21" s="1485" t="e">
        <f>J21*$K$4</f>
        <v>#REF!</v>
      </c>
      <c r="L21" s="1485"/>
      <c r="M21" s="726"/>
      <c r="N21" s="727"/>
      <c r="O21" s="1485" t="e">
        <f>N21*$O$4</f>
        <v>#REF!</v>
      </c>
      <c r="P21" s="1485"/>
      <c r="Q21" s="726"/>
      <c r="R21" s="727">
        <v>0.01</v>
      </c>
      <c r="S21" s="1485" t="e">
        <f>R21*$S$4</f>
        <v>#REF!</v>
      </c>
      <c r="T21" s="1485"/>
      <c r="W21" s="1482" t="e">
        <f t="shared" si="3"/>
        <v>#REF!</v>
      </c>
      <c r="X21" s="1482"/>
    </row>
    <row r="22" spans="1:24" s="440" customFormat="1" ht="21.75" customHeight="1" x14ac:dyDescent="0.35">
      <c r="A22" s="1477" t="s">
        <v>1248</v>
      </c>
      <c r="B22" s="1478"/>
      <c r="C22" s="1478"/>
      <c r="D22" s="1478"/>
      <c r="E22" s="1478"/>
      <c r="F22" s="1479"/>
      <c r="G22" s="1480" t="e">
        <f>SUM(G5:H21)</f>
        <v>#REF!</v>
      </c>
      <c r="H22" s="1481"/>
      <c r="I22" s="730">
        <f>SUM(I4:I21)</f>
        <v>0.2</v>
      </c>
      <c r="J22" s="731">
        <f>SUM(J5:J21)</f>
        <v>1</v>
      </c>
      <c r="K22" s="1480" t="e">
        <f>SUM(K5:L21)</f>
        <v>#REF!</v>
      </c>
      <c r="L22" s="1481"/>
      <c r="M22" s="730">
        <f>SUM(M4:M21)</f>
        <v>0.35</v>
      </c>
      <c r="N22" s="731">
        <f>SUM(N5:N21)</f>
        <v>1</v>
      </c>
      <c r="O22" s="1480" t="e">
        <f>SUM(O5:P21)</f>
        <v>#REF!</v>
      </c>
      <c r="P22" s="1481"/>
      <c r="Q22" s="730">
        <f>SUM(Q4:Q21)</f>
        <v>0.45</v>
      </c>
      <c r="R22" s="731">
        <f>SUM(R5:R21)</f>
        <v>1</v>
      </c>
      <c r="S22" s="1480" t="e">
        <f>SUM(S5:T21)</f>
        <v>#REF!</v>
      </c>
      <c r="T22" s="1481"/>
      <c r="W22" s="1482" t="e">
        <f t="shared" si="3"/>
        <v>#REF!</v>
      </c>
      <c r="X22" s="1482"/>
    </row>
    <row r="23" spans="1:24" s="440" customFormat="1" ht="21.75" customHeight="1" x14ac:dyDescent="0.35">
      <c r="A23" s="1477" t="s">
        <v>1249</v>
      </c>
      <c r="B23" s="1478"/>
      <c r="C23" s="1478"/>
      <c r="D23" s="1478"/>
      <c r="E23" s="1478"/>
      <c r="F23" s="1479"/>
      <c r="G23" s="1480">
        <f>Q23</f>
        <v>120</v>
      </c>
      <c r="H23" s="1481"/>
      <c r="I23" s="715">
        <v>60</v>
      </c>
      <c r="J23" s="715"/>
      <c r="K23" s="1480"/>
      <c r="L23" s="1481"/>
      <c r="M23" s="715">
        <f>I23+30</f>
        <v>90</v>
      </c>
      <c r="N23" s="715"/>
      <c r="O23" s="1480"/>
      <c r="P23" s="1481"/>
      <c r="Q23" s="715">
        <f>M23+30</f>
        <v>120</v>
      </c>
      <c r="R23" s="715"/>
      <c r="S23" s="1480"/>
      <c r="T23" s="1481"/>
      <c r="W23" s="713"/>
      <c r="X23" s="713"/>
    </row>
    <row r="24" spans="1:24" ht="18" customHeight="1" x14ac:dyDescent="0.3"/>
    <row r="25" spans="1:24" ht="18" customHeight="1" x14ac:dyDescent="0.3"/>
    <row r="26" spans="1:24" ht="18" customHeight="1" x14ac:dyDescent="0.3"/>
    <row r="27" spans="1:24" ht="18" customHeight="1" x14ac:dyDescent="0.3"/>
    <row r="28" spans="1:24" ht="18" customHeight="1" x14ac:dyDescent="0.3"/>
    <row r="29" spans="1:24" ht="18" customHeight="1" x14ac:dyDescent="0.3"/>
    <row r="30" spans="1:24" ht="18" customHeight="1" x14ac:dyDescent="0.3"/>
    <row r="31" spans="1:24" ht="18" customHeight="1" x14ac:dyDescent="0.3"/>
    <row r="32" spans="1:24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  <row r="39" ht="18" customHeight="1" x14ac:dyDescent="0.3"/>
    <row r="40" ht="18" customHeight="1" x14ac:dyDescent="0.3"/>
    <row r="41" ht="18" customHeight="1" x14ac:dyDescent="0.3"/>
    <row r="42" ht="18" customHeight="1" x14ac:dyDescent="0.3"/>
    <row r="43" ht="18" customHeight="1" x14ac:dyDescent="0.3"/>
    <row r="44" ht="18" customHeight="1" x14ac:dyDescent="0.3"/>
    <row r="45" ht="18" customHeight="1" x14ac:dyDescent="0.3"/>
    <row r="46" ht="18" customHeight="1" x14ac:dyDescent="0.3"/>
    <row r="47" ht="18" customHeight="1" x14ac:dyDescent="0.3"/>
  </sheetData>
  <mergeCells count="109">
    <mergeCell ref="K3:L3"/>
    <mergeCell ref="O3:P3"/>
    <mergeCell ref="S3:T3"/>
    <mergeCell ref="K4:L4"/>
    <mergeCell ref="O4:P4"/>
    <mergeCell ref="S4:T4"/>
    <mergeCell ref="W4:X4"/>
    <mergeCell ref="B2:F3"/>
    <mergeCell ref="G2:H2"/>
    <mergeCell ref="I2:L2"/>
    <mergeCell ref="M2:P2"/>
    <mergeCell ref="Q2:T2"/>
    <mergeCell ref="G3:H3"/>
    <mergeCell ref="W6:X6"/>
    <mergeCell ref="G5:H5"/>
    <mergeCell ref="K5:L5"/>
    <mergeCell ref="O5:P5"/>
    <mergeCell ref="S5:T5"/>
    <mergeCell ref="W5:X5"/>
    <mergeCell ref="G6:H6"/>
    <mergeCell ref="K6:L6"/>
    <mergeCell ref="O6:P6"/>
    <mergeCell ref="S6:T6"/>
    <mergeCell ref="G9:H9"/>
    <mergeCell ref="K9:L9"/>
    <mergeCell ref="O9:P9"/>
    <mergeCell ref="S9:T9"/>
    <mergeCell ref="W9:X9"/>
    <mergeCell ref="G7:H7"/>
    <mergeCell ref="K7:L7"/>
    <mergeCell ref="O7:P7"/>
    <mergeCell ref="S7:T7"/>
    <mergeCell ref="W7:X7"/>
    <mergeCell ref="G8:H8"/>
    <mergeCell ref="K8:L8"/>
    <mergeCell ref="O8:P8"/>
    <mergeCell ref="S8:T8"/>
    <mergeCell ref="W8:X8"/>
    <mergeCell ref="G10:H10"/>
    <mergeCell ref="K10:L10"/>
    <mergeCell ref="O10:P10"/>
    <mergeCell ref="S10:T10"/>
    <mergeCell ref="W10:X10"/>
    <mergeCell ref="G11:H11"/>
    <mergeCell ref="K11:L11"/>
    <mergeCell ref="O11:P11"/>
    <mergeCell ref="S11:T11"/>
    <mergeCell ref="W11:X11"/>
    <mergeCell ref="G14:H14"/>
    <mergeCell ref="K14:L14"/>
    <mergeCell ref="O14:P14"/>
    <mergeCell ref="S14:T14"/>
    <mergeCell ref="W14:X14"/>
    <mergeCell ref="G12:H12"/>
    <mergeCell ref="K12:L12"/>
    <mergeCell ref="O12:P12"/>
    <mergeCell ref="S12:T12"/>
    <mergeCell ref="W12:X12"/>
    <mergeCell ref="G13:H13"/>
    <mergeCell ref="K13:L13"/>
    <mergeCell ref="O13:P13"/>
    <mergeCell ref="S13:T13"/>
    <mergeCell ref="W13:X13"/>
    <mergeCell ref="G15:H15"/>
    <mergeCell ref="K15:L15"/>
    <mergeCell ref="O15:P15"/>
    <mergeCell ref="S15:T15"/>
    <mergeCell ref="W15:X15"/>
    <mergeCell ref="G16:H16"/>
    <mergeCell ref="K16:L16"/>
    <mergeCell ref="O16:P16"/>
    <mergeCell ref="S16:T16"/>
    <mergeCell ref="W16:X16"/>
    <mergeCell ref="G17:H17"/>
    <mergeCell ref="K17:L17"/>
    <mergeCell ref="O17:P17"/>
    <mergeCell ref="S17:T17"/>
    <mergeCell ref="W17:X17"/>
    <mergeCell ref="G18:H18"/>
    <mergeCell ref="K18:L18"/>
    <mergeCell ref="O18:P18"/>
    <mergeCell ref="S18:T18"/>
    <mergeCell ref="W18:X18"/>
    <mergeCell ref="W21:X21"/>
    <mergeCell ref="G19:H19"/>
    <mergeCell ref="K19:L19"/>
    <mergeCell ref="O19:P19"/>
    <mergeCell ref="S19:T19"/>
    <mergeCell ref="W19:X19"/>
    <mergeCell ref="W22:X22"/>
    <mergeCell ref="G20:H20"/>
    <mergeCell ref="K20:L20"/>
    <mergeCell ref="O20:P20"/>
    <mergeCell ref="S20:T20"/>
    <mergeCell ref="W20:X20"/>
    <mergeCell ref="G21:H21"/>
    <mergeCell ref="K21:L21"/>
    <mergeCell ref="O21:P21"/>
    <mergeCell ref="S21:T21"/>
    <mergeCell ref="A23:F23"/>
    <mergeCell ref="G23:H23"/>
    <mergeCell ref="K23:L23"/>
    <mergeCell ref="O23:P23"/>
    <mergeCell ref="S23:T23"/>
    <mergeCell ref="A22:F22"/>
    <mergeCell ref="G22:H22"/>
    <mergeCell ref="K22:L22"/>
    <mergeCell ref="O22:P22"/>
    <mergeCell ref="S22:T22"/>
  </mergeCells>
  <pageMargins left="0.5" right="0.5" top="0.75" bottom="0.5" header="0.5" footer="0.3"/>
  <pageSetup paperSize="9" orientation="landscape" r:id="rId1"/>
  <headerFooter>
    <oddHeader>&amp;R&amp;"TH SarabunIT๙,ธรรมดา"บ้านบางสามัคคี แผ่นที่ ๔/๔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Views>
    <sheetView topLeftCell="A58" workbookViewId="0">
      <selection activeCell="V122" sqref="V122"/>
    </sheetView>
  </sheetViews>
  <sheetFormatPr defaultColWidth="5.25" defaultRowHeight="21.75" customHeight="1" x14ac:dyDescent="0.4"/>
  <cols>
    <col min="1" max="17" width="5.25" style="340" customWidth="1"/>
    <col min="18" max="18" width="4.375" style="340" customWidth="1"/>
    <col min="19" max="19" width="1.375" style="340" customWidth="1"/>
    <col min="20" max="20" width="1.125" style="340" customWidth="1"/>
    <col min="21" max="21" width="1" style="340" customWidth="1"/>
    <col min="22" max="16384" width="5.25" style="340"/>
  </cols>
  <sheetData>
    <row r="1" spans="1:10" ht="30" customHeight="1" x14ac:dyDescent="0.4">
      <c r="A1" s="740" t="s">
        <v>1429</v>
      </c>
      <c r="B1" s="740"/>
      <c r="C1" s="740"/>
      <c r="D1" s="740"/>
      <c r="E1" s="740"/>
      <c r="F1" s="740"/>
      <c r="G1" s="740"/>
      <c r="H1" s="740"/>
      <c r="I1" s="740"/>
      <c r="J1" s="347"/>
    </row>
    <row r="2" spans="1:10" ht="30" customHeight="1" x14ac:dyDescent="0.4">
      <c r="A2" s="741" t="s">
        <v>1126</v>
      </c>
      <c r="B2" s="1498" t="s">
        <v>1313</v>
      </c>
      <c r="C2" s="1498"/>
      <c r="D2" s="1498"/>
      <c r="E2" s="1498"/>
    </row>
    <row r="3" spans="1:10" ht="21.75" customHeight="1" x14ac:dyDescent="0.4">
      <c r="B3" s="340" t="s">
        <v>1314</v>
      </c>
    </row>
    <row r="4" spans="1:10" ht="21.75" customHeight="1" x14ac:dyDescent="0.4">
      <c r="A4" s="340" t="s">
        <v>1315</v>
      </c>
    </row>
    <row r="5" spans="1:10" ht="21.75" customHeight="1" x14ac:dyDescent="0.4">
      <c r="A5" s="340" t="s">
        <v>1316</v>
      </c>
    </row>
    <row r="6" spans="1:10" ht="21.75" customHeight="1" x14ac:dyDescent="0.4">
      <c r="B6" s="340" t="s">
        <v>1317</v>
      </c>
    </row>
    <row r="7" spans="1:10" ht="21.75" customHeight="1" x14ac:dyDescent="0.4">
      <c r="A7" s="340" t="s">
        <v>1318</v>
      </c>
    </row>
    <row r="8" spans="1:10" ht="21.75" customHeight="1" x14ac:dyDescent="0.4">
      <c r="A8" s="340" t="s">
        <v>1319</v>
      </c>
    </row>
    <row r="9" spans="1:10" ht="21.75" customHeight="1" x14ac:dyDescent="0.4">
      <c r="B9" s="340" t="s">
        <v>1320</v>
      </c>
    </row>
    <row r="10" spans="1:10" ht="21.75" customHeight="1" x14ac:dyDescent="0.4">
      <c r="A10" s="340" t="s">
        <v>1321</v>
      </c>
    </row>
    <row r="11" spans="1:10" ht="21.75" customHeight="1" x14ac:dyDescent="0.4">
      <c r="A11" s="340" t="s">
        <v>1322</v>
      </c>
    </row>
    <row r="12" spans="1:10" ht="21.75" customHeight="1" x14ac:dyDescent="0.4">
      <c r="B12" s="340" t="s">
        <v>1323</v>
      </c>
    </row>
    <row r="13" spans="1:10" ht="21.75" customHeight="1" x14ac:dyDescent="0.4">
      <c r="A13" s="340" t="s">
        <v>1324</v>
      </c>
    </row>
    <row r="14" spans="1:10" ht="21.75" customHeight="1" x14ac:dyDescent="0.4">
      <c r="B14" s="340" t="s">
        <v>1325</v>
      </c>
    </row>
    <row r="15" spans="1:10" ht="21.75" customHeight="1" x14ac:dyDescent="0.4">
      <c r="A15" s="340" t="s">
        <v>1430</v>
      </c>
    </row>
    <row r="16" spans="1:10" ht="21.75" customHeight="1" x14ac:dyDescent="0.4">
      <c r="A16" s="340" t="s">
        <v>1326</v>
      </c>
    </row>
    <row r="17" spans="1:4" ht="21.75" customHeight="1" x14ac:dyDescent="0.4">
      <c r="A17" s="340" t="s">
        <v>1327</v>
      </c>
    </row>
    <row r="18" spans="1:4" ht="21.75" customHeight="1" x14ac:dyDescent="0.4">
      <c r="A18" s="340" t="s">
        <v>1328</v>
      </c>
    </row>
    <row r="19" spans="1:4" ht="21.75" customHeight="1" x14ac:dyDescent="0.4">
      <c r="B19" s="340" t="s">
        <v>1431</v>
      </c>
    </row>
    <row r="20" spans="1:4" ht="21.75" customHeight="1" x14ac:dyDescent="0.4">
      <c r="A20" s="340" t="s">
        <v>1329</v>
      </c>
    </row>
    <row r="21" spans="1:4" ht="21.75" customHeight="1" x14ac:dyDescent="0.4">
      <c r="A21" s="340" t="s">
        <v>1330</v>
      </c>
    </row>
    <row r="22" spans="1:4" ht="30" customHeight="1" x14ac:dyDescent="0.4">
      <c r="B22" s="742" t="s">
        <v>1331</v>
      </c>
    </row>
    <row r="23" spans="1:4" ht="21.75" customHeight="1" x14ac:dyDescent="0.4">
      <c r="A23" s="340" t="s">
        <v>1332</v>
      </c>
    </row>
    <row r="24" spans="1:4" ht="21.75" customHeight="1" x14ac:dyDescent="0.4">
      <c r="A24" s="1499"/>
      <c r="B24" s="1499"/>
      <c r="D24" s="340" t="s">
        <v>1333</v>
      </c>
    </row>
    <row r="25" spans="1:4" ht="21.75" customHeight="1" x14ac:dyDescent="0.4">
      <c r="A25" s="340" t="s">
        <v>1334</v>
      </c>
      <c r="D25" s="340" t="s">
        <v>1335</v>
      </c>
    </row>
    <row r="26" spans="1:4" ht="21.75" customHeight="1" x14ac:dyDescent="0.4">
      <c r="D26" s="340" t="s">
        <v>1336</v>
      </c>
    </row>
    <row r="27" spans="1:4" ht="21.75" customHeight="1" x14ac:dyDescent="0.4">
      <c r="D27" s="340" t="s">
        <v>1337</v>
      </c>
    </row>
    <row r="28" spans="1:4" ht="21.75" customHeight="1" x14ac:dyDescent="0.4">
      <c r="D28" s="340" t="s">
        <v>1338</v>
      </c>
    </row>
    <row r="29" spans="1:4" ht="21.75" customHeight="1" x14ac:dyDescent="0.4">
      <c r="D29" s="340" t="s">
        <v>1339</v>
      </c>
    </row>
    <row r="30" spans="1:4" ht="21.75" customHeight="1" x14ac:dyDescent="0.4">
      <c r="A30" s="340" t="s">
        <v>1340</v>
      </c>
    </row>
    <row r="31" spans="1:4" ht="30.75" customHeight="1" x14ac:dyDescent="0.4">
      <c r="B31" s="742" t="s">
        <v>1341</v>
      </c>
    </row>
    <row r="32" spans="1:4" ht="21.75" customHeight="1" x14ac:dyDescent="0.4">
      <c r="B32" s="743" t="s">
        <v>1342</v>
      </c>
    </row>
    <row r="33" spans="1:17" ht="21.75" customHeight="1" x14ac:dyDescent="0.4">
      <c r="A33" s="340" t="s">
        <v>1343</v>
      </c>
    </row>
    <row r="34" spans="1:17" ht="21.75" customHeight="1" x14ac:dyDescent="0.4">
      <c r="B34" s="340" t="s">
        <v>1344</v>
      </c>
    </row>
    <row r="35" spans="1:17" ht="21.75" customHeight="1" x14ac:dyDescent="0.4">
      <c r="B35" s="340" t="s">
        <v>1345</v>
      </c>
    </row>
    <row r="37" spans="1:17" ht="21.75" customHeight="1" x14ac:dyDescent="0.4">
      <c r="B37" s="340" t="s">
        <v>1346</v>
      </c>
    </row>
    <row r="38" spans="1:17" ht="21.75" customHeight="1" x14ac:dyDescent="0.4">
      <c r="A38" s="340" t="s">
        <v>1347</v>
      </c>
    </row>
    <row r="39" spans="1:17" ht="21.75" customHeight="1" x14ac:dyDescent="0.4">
      <c r="B39" s="340" t="s">
        <v>1348</v>
      </c>
    </row>
    <row r="40" spans="1:17" ht="21.75" customHeight="1" x14ac:dyDescent="0.4">
      <c r="B40" s="340" t="s">
        <v>1349</v>
      </c>
    </row>
    <row r="41" spans="1:17" ht="21.75" customHeight="1" x14ac:dyDescent="0.4">
      <c r="A41" s="340" t="s">
        <v>1350</v>
      </c>
    </row>
    <row r="42" spans="1:17" ht="21.75" customHeight="1" x14ac:dyDescent="0.4">
      <c r="A42" s="340" t="s">
        <v>1351</v>
      </c>
    </row>
    <row r="43" spans="1:17" ht="21.75" customHeight="1" x14ac:dyDescent="0.4">
      <c r="B43" s="340" t="s">
        <v>1352</v>
      </c>
    </row>
    <row r="44" spans="1:17" ht="21.75" customHeight="1" x14ac:dyDescent="0.45">
      <c r="A44" s="744" t="s">
        <v>1353</v>
      </c>
      <c r="B44" s="745"/>
      <c r="C44" s="745"/>
      <c r="D44" s="745"/>
      <c r="E44" s="745"/>
      <c r="F44" s="745"/>
      <c r="G44" s="745"/>
      <c r="H44" s="745"/>
      <c r="I44" s="746"/>
      <c r="J44" s="746"/>
      <c r="K44" s="746"/>
      <c r="L44" s="746"/>
      <c r="M44" s="746"/>
      <c r="N44" s="746"/>
      <c r="O44" s="746"/>
      <c r="P44" s="746"/>
      <c r="Q44" s="746"/>
    </row>
    <row r="45" spans="1:17" ht="21.75" customHeight="1" x14ac:dyDescent="0.4">
      <c r="B45" s="742" t="s">
        <v>1354</v>
      </c>
    </row>
    <row r="46" spans="1:17" ht="21.75" customHeight="1" x14ac:dyDescent="0.4">
      <c r="B46" s="340" t="s">
        <v>1432</v>
      </c>
    </row>
    <row r="47" spans="1:17" ht="21.75" customHeight="1" x14ac:dyDescent="0.4">
      <c r="A47" s="340" t="s">
        <v>1355</v>
      </c>
    </row>
    <row r="48" spans="1:17" ht="21.75" customHeight="1" x14ac:dyDescent="0.4">
      <c r="A48" s="340" t="s">
        <v>1356</v>
      </c>
    </row>
    <row r="49" spans="1:15" ht="21.75" customHeight="1" x14ac:dyDescent="0.4">
      <c r="A49" s="340" t="s">
        <v>1433</v>
      </c>
    </row>
    <row r="50" spans="1:15" ht="21.75" customHeight="1" x14ac:dyDescent="0.4">
      <c r="A50" s="340" t="s">
        <v>1357</v>
      </c>
    </row>
    <row r="51" spans="1:15" ht="21.75" customHeight="1" x14ac:dyDescent="0.45">
      <c r="A51" s="744" t="s">
        <v>1358</v>
      </c>
      <c r="B51" s="747"/>
      <c r="C51" s="747"/>
      <c r="D51" s="747"/>
      <c r="E51" s="747"/>
      <c r="F51" s="747"/>
      <c r="G51" s="747"/>
      <c r="H51" s="747"/>
      <c r="I51" s="748"/>
      <c r="J51" s="748"/>
      <c r="K51" s="748"/>
      <c r="L51" s="748"/>
      <c r="M51" s="748"/>
      <c r="N51" s="748"/>
      <c r="O51" s="748"/>
    </row>
    <row r="52" spans="1:15" ht="21.75" customHeight="1" x14ac:dyDescent="0.4">
      <c r="B52" s="742" t="s">
        <v>1359</v>
      </c>
    </row>
    <row r="53" spans="1:15" ht="21.75" customHeight="1" x14ac:dyDescent="0.4">
      <c r="B53" s="340" t="s">
        <v>1360</v>
      </c>
    </row>
    <row r="54" spans="1:15" ht="21.75" customHeight="1" x14ac:dyDescent="0.4">
      <c r="C54" s="340" t="s">
        <v>1361</v>
      </c>
    </row>
    <row r="55" spans="1:15" ht="21.75" customHeight="1" x14ac:dyDescent="0.4">
      <c r="A55" s="749" t="s">
        <v>1362</v>
      </c>
      <c r="B55" s="750"/>
      <c r="C55" s="750"/>
      <c r="D55" s="750"/>
      <c r="E55" s="750"/>
      <c r="F55" s="750"/>
      <c r="G55" s="750"/>
      <c r="H55" s="750"/>
      <c r="I55" s="751"/>
      <c r="J55" s="751"/>
    </row>
    <row r="56" spans="1:15" ht="21.75" customHeight="1" x14ac:dyDescent="0.4">
      <c r="C56" s="340" t="s">
        <v>1363</v>
      </c>
    </row>
    <row r="57" spans="1:15" ht="21.75" customHeight="1" x14ac:dyDescent="0.4">
      <c r="A57" s="749" t="s">
        <v>1364</v>
      </c>
      <c r="B57" s="750"/>
      <c r="C57" s="750"/>
      <c r="D57" s="750"/>
      <c r="E57" s="750"/>
      <c r="F57" s="750"/>
      <c r="G57" s="750"/>
      <c r="H57" s="750"/>
      <c r="I57" s="751"/>
      <c r="J57" s="751"/>
      <c r="K57" s="751"/>
      <c r="L57" s="751"/>
      <c r="M57" s="751"/>
    </row>
    <row r="58" spans="1:15" ht="21.75" customHeight="1" x14ac:dyDescent="0.4">
      <c r="C58" s="340" t="s">
        <v>1365</v>
      </c>
    </row>
    <row r="59" spans="1:15" ht="21.75" customHeight="1" x14ac:dyDescent="0.4">
      <c r="A59" s="749" t="s">
        <v>1366</v>
      </c>
      <c r="B59" s="750"/>
      <c r="C59" s="750"/>
      <c r="D59" s="750"/>
      <c r="E59" s="750"/>
      <c r="F59" s="750"/>
      <c r="G59" s="750"/>
      <c r="H59" s="750"/>
      <c r="I59" s="751"/>
      <c r="J59" s="751"/>
      <c r="K59" s="751"/>
      <c r="L59" s="751"/>
      <c r="M59" s="751"/>
    </row>
    <row r="60" spans="1:15" ht="21.75" customHeight="1" x14ac:dyDescent="0.4">
      <c r="B60" s="340" t="s">
        <v>1367</v>
      </c>
    </row>
    <row r="61" spans="1:15" ht="21.75" customHeight="1" x14ac:dyDescent="0.4">
      <c r="C61" s="340" t="s">
        <v>1368</v>
      </c>
    </row>
    <row r="62" spans="1:15" ht="21.75" customHeight="1" x14ac:dyDescent="0.4">
      <c r="A62" s="749" t="s">
        <v>1369</v>
      </c>
      <c r="B62" s="750"/>
      <c r="C62" s="750"/>
      <c r="D62" s="750"/>
      <c r="E62" s="750"/>
      <c r="F62" s="750"/>
      <c r="G62" s="750"/>
      <c r="H62" s="750"/>
      <c r="I62" s="751"/>
      <c r="J62" s="751"/>
      <c r="K62" s="751"/>
      <c r="L62" s="751"/>
      <c r="M62" s="751"/>
      <c r="N62" s="751"/>
      <c r="O62" s="751"/>
    </row>
    <row r="63" spans="1:15" ht="21.75" customHeight="1" x14ac:dyDescent="0.4">
      <c r="C63" s="340" t="s">
        <v>1370</v>
      </c>
    </row>
    <row r="64" spans="1:15" ht="21.75" customHeight="1" x14ac:dyDescent="0.4">
      <c r="A64" s="340" t="s">
        <v>1371</v>
      </c>
    </row>
    <row r="65" spans="1:18" ht="21.75" customHeight="1" x14ac:dyDescent="0.4">
      <c r="A65" s="749" t="s">
        <v>1372</v>
      </c>
      <c r="B65" s="750"/>
      <c r="C65" s="750"/>
      <c r="D65" s="750"/>
      <c r="E65" s="750"/>
      <c r="F65" s="750"/>
      <c r="G65" s="750"/>
      <c r="H65" s="750"/>
      <c r="I65" s="751"/>
      <c r="J65" s="751"/>
      <c r="K65" s="751"/>
      <c r="L65" s="751"/>
      <c r="M65" s="751"/>
      <c r="N65" s="751"/>
      <c r="O65" s="751"/>
    </row>
    <row r="66" spans="1:18" ht="21.75" customHeight="1" x14ac:dyDescent="0.4">
      <c r="A66" s="752"/>
      <c r="B66" s="752"/>
      <c r="C66" s="752"/>
      <c r="D66" s="752"/>
      <c r="E66" s="752"/>
      <c r="F66" s="752"/>
      <c r="G66" s="752"/>
      <c r="H66" s="752"/>
      <c r="I66" s="752"/>
    </row>
    <row r="67" spans="1:18" ht="21.75" customHeight="1" x14ac:dyDescent="0.4">
      <c r="C67" s="340" t="s">
        <v>1373</v>
      </c>
    </row>
    <row r="68" spans="1:18" ht="21.75" customHeight="1" x14ac:dyDescent="0.4">
      <c r="A68" s="749" t="s">
        <v>1374</v>
      </c>
      <c r="B68" s="750"/>
      <c r="C68" s="750"/>
      <c r="D68" s="750"/>
      <c r="E68" s="750"/>
      <c r="F68" s="750"/>
      <c r="G68" s="750"/>
      <c r="H68" s="750"/>
      <c r="I68" s="751"/>
      <c r="J68" s="751"/>
      <c r="K68" s="751"/>
      <c r="L68" s="751"/>
      <c r="M68" s="751"/>
    </row>
    <row r="69" spans="1:18" ht="21.75" customHeight="1" x14ac:dyDescent="0.4">
      <c r="B69" s="340" t="s">
        <v>1375</v>
      </c>
    </row>
    <row r="70" spans="1:18" ht="21.75" customHeight="1" x14ac:dyDescent="0.4">
      <c r="A70" s="749" t="s">
        <v>1376</v>
      </c>
      <c r="B70" s="750"/>
      <c r="C70" s="750"/>
      <c r="D70" s="750"/>
      <c r="E70" s="750"/>
      <c r="F70" s="750"/>
      <c r="G70" s="750"/>
      <c r="H70" s="750"/>
      <c r="I70" s="751"/>
      <c r="J70" s="751"/>
      <c r="K70" s="751"/>
      <c r="L70" s="751"/>
      <c r="M70" s="751"/>
      <c r="N70" s="751"/>
      <c r="O70" s="751"/>
      <c r="P70" s="751"/>
      <c r="Q70" s="751"/>
      <c r="R70" s="751"/>
    </row>
    <row r="71" spans="1:18" ht="21.75" customHeight="1" x14ac:dyDescent="0.4">
      <c r="B71" s="340" t="s">
        <v>1377</v>
      </c>
    </row>
    <row r="72" spans="1:18" ht="21.75" customHeight="1" x14ac:dyDescent="0.4">
      <c r="A72" s="749" t="s">
        <v>1378</v>
      </c>
      <c r="B72" s="750"/>
      <c r="C72" s="750"/>
      <c r="D72" s="750"/>
      <c r="E72" s="750"/>
      <c r="F72" s="750"/>
      <c r="G72" s="750"/>
      <c r="H72" s="750"/>
      <c r="I72" s="751"/>
      <c r="J72" s="751"/>
      <c r="K72" s="751"/>
      <c r="L72" s="751"/>
      <c r="M72" s="751"/>
    </row>
    <row r="73" spans="1:18" ht="21.75" customHeight="1" x14ac:dyDescent="0.4">
      <c r="A73" s="752"/>
      <c r="B73" s="752"/>
      <c r="C73" s="752"/>
      <c r="D73" s="752"/>
      <c r="E73" s="752"/>
      <c r="F73" s="752"/>
      <c r="G73" s="752"/>
      <c r="H73" s="752"/>
      <c r="I73" s="752"/>
      <c r="J73" s="752"/>
      <c r="K73" s="752"/>
      <c r="L73" s="752"/>
      <c r="M73" s="752"/>
    </row>
    <row r="74" spans="1:18" ht="21.75" customHeight="1" x14ac:dyDescent="0.4">
      <c r="B74" s="340" t="s">
        <v>1379</v>
      </c>
    </row>
    <row r="75" spans="1:18" ht="21.75" customHeight="1" x14ac:dyDescent="0.4">
      <c r="A75" s="749" t="s">
        <v>1380</v>
      </c>
      <c r="B75" s="750"/>
      <c r="C75" s="750"/>
      <c r="D75" s="750"/>
      <c r="E75" s="750"/>
      <c r="F75" s="750"/>
      <c r="G75" s="750"/>
      <c r="H75" s="750"/>
      <c r="I75" s="751"/>
      <c r="J75" s="751"/>
    </row>
    <row r="76" spans="1:18" ht="21.75" customHeight="1" x14ac:dyDescent="0.4">
      <c r="B76" s="340" t="s">
        <v>1381</v>
      </c>
    </row>
    <row r="77" spans="1:18" ht="21.75" customHeight="1" x14ac:dyDescent="0.4">
      <c r="C77" s="340" t="s">
        <v>1382</v>
      </c>
    </row>
    <row r="78" spans="1:18" ht="21.75" customHeight="1" x14ac:dyDescent="0.45">
      <c r="A78" s="744" t="s">
        <v>1383</v>
      </c>
      <c r="B78" s="753"/>
      <c r="C78" s="753"/>
      <c r="D78" s="753"/>
      <c r="E78" s="753"/>
      <c r="F78" s="753"/>
      <c r="G78" s="753"/>
      <c r="H78" s="754"/>
      <c r="I78" s="754"/>
      <c r="J78" s="754"/>
      <c r="K78" s="754"/>
      <c r="L78" s="754"/>
      <c r="M78" s="754"/>
      <c r="N78" s="754"/>
      <c r="O78" s="754"/>
    </row>
    <row r="79" spans="1:18" ht="21.75" customHeight="1" x14ac:dyDescent="0.4">
      <c r="C79" s="340" t="s">
        <v>1384</v>
      </c>
    </row>
    <row r="80" spans="1:18" ht="21.75" customHeight="1" x14ac:dyDescent="0.45">
      <c r="A80" s="744" t="s">
        <v>1385</v>
      </c>
      <c r="B80" s="753"/>
      <c r="C80" s="753"/>
      <c r="D80" s="753"/>
      <c r="E80" s="753"/>
      <c r="F80" s="753"/>
      <c r="G80" s="753"/>
      <c r="H80" s="754"/>
      <c r="I80" s="754"/>
      <c r="J80" s="754"/>
      <c r="K80" s="754"/>
      <c r="L80" s="754"/>
      <c r="M80" s="754"/>
      <c r="N80" s="754"/>
      <c r="O80" s="754"/>
    </row>
    <row r="81" spans="1:8" ht="21.75" customHeight="1" x14ac:dyDescent="0.45">
      <c r="A81" s="755"/>
      <c r="B81" s="755"/>
      <c r="C81" s="755"/>
      <c r="D81" s="755"/>
      <c r="E81" s="755"/>
      <c r="F81" s="755"/>
      <c r="G81" s="755"/>
      <c r="H81" s="755"/>
    </row>
    <row r="82" spans="1:8" ht="21.75" customHeight="1" x14ac:dyDescent="0.4">
      <c r="A82" s="742" t="s">
        <v>1386</v>
      </c>
    </row>
    <row r="83" spans="1:8" ht="21.75" customHeight="1" x14ac:dyDescent="0.4">
      <c r="B83" s="340" t="s">
        <v>1387</v>
      </c>
    </row>
    <row r="84" spans="1:8" ht="21.75" customHeight="1" x14ac:dyDescent="0.4">
      <c r="B84" s="340" t="s">
        <v>1388</v>
      </c>
    </row>
    <row r="85" spans="1:8" ht="21.75" customHeight="1" x14ac:dyDescent="0.4">
      <c r="B85" s="340" t="s">
        <v>1389</v>
      </c>
    </row>
    <row r="86" spans="1:8" ht="21.75" customHeight="1" x14ac:dyDescent="0.4">
      <c r="B86" s="340" t="s">
        <v>1390</v>
      </c>
    </row>
    <row r="87" spans="1:8" ht="21.75" customHeight="1" x14ac:dyDescent="0.4">
      <c r="B87" s="340" t="s">
        <v>1391</v>
      </c>
    </row>
    <row r="88" spans="1:8" ht="21.75" customHeight="1" x14ac:dyDescent="0.4">
      <c r="B88" s="340" t="s">
        <v>1392</v>
      </c>
    </row>
    <row r="89" spans="1:8" ht="21.75" customHeight="1" x14ac:dyDescent="0.4">
      <c r="B89" s="340" t="s">
        <v>1393</v>
      </c>
    </row>
    <row r="90" spans="1:8" ht="21.75" customHeight="1" x14ac:dyDescent="0.4">
      <c r="B90" s="340" t="s">
        <v>1394</v>
      </c>
    </row>
    <row r="91" spans="1:8" ht="21.75" customHeight="1" x14ac:dyDescent="0.4">
      <c r="B91" s="340" t="s">
        <v>1395</v>
      </c>
    </row>
    <row r="92" spans="1:8" ht="21.75" customHeight="1" x14ac:dyDescent="0.4">
      <c r="B92" s="340" t="s">
        <v>1396</v>
      </c>
    </row>
    <row r="93" spans="1:8" ht="21.75" customHeight="1" x14ac:dyDescent="0.4">
      <c r="B93" s="340" t="s">
        <v>1397</v>
      </c>
    </row>
    <row r="94" spans="1:8" ht="21.75" customHeight="1" x14ac:dyDescent="0.4">
      <c r="B94" s="340" t="s">
        <v>1398</v>
      </c>
    </row>
    <row r="95" spans="1:8" ht="21.75" customHeight="1" x14ac:dyDescent="0.4">
      <c r="B95" s="340" t="s">
        <v>1399</v>
      </c>
    </row>
    <row r="96" spans="1:8" ht="21.75" customHeight="1" x14ac:dyDescent="0.4">
      <c r="B96" s="340" t="s">
        <v>1400</v>
      </c>
    </row>
    <row r="97" spans="2:2" ht="21.75" customHeight="1" x14ac:dyDescent="0.4">
      <c r="B97" s="340" t="s">
        <v>1401</v>
      </c>
    </row>
    <row r="98" spans="2:2" ht="21.75" customHeight="1" x14ac:dyDescent="0.4">
      <c r="B98" s="340" t="s">
        <v>1402</v>
      </c>
    </row>
    <row r="99" spans="2:2" ht="21.75" customHeight="1" x14ac:dyDescent="0.4">
      <c r="B99" s="340" t="s">
        <v>1403</v>
      </c>
    </row>
    <row r="100" spans="2:2" ht="21.75" customHeight="1" x14ac:dyDescent="0.4">
      <c r="B100" s="340" t="s">
        <v>1404</v>
      </c>
    </row>
    <row r="101" spans="2:2" ht="21.75" customHeight="1" x14ac:dyDescent="0.4">
      <c r="B101" s="340" t="s">
        <v>1405</v>
      </c>
    </row>
    <row r="102" spans="2:2" ht="21.75" customHeight="1" x14ac:dyDescent="0.4">
      <c r="B102" s="340" t="s">
        <v>1406</v>
      </c>
    </row>
    <row r="103" spans="2:2" ht="21.75" customHeight="1" x14ac:dyDescent="0.4">
      <c r="B103" s="340" t="s">
        <v>1407</v>
      </c>
    </row>
    <row r="104" spans="2:2" ht="21.75" customHeight="1" x14ac:dyDescent="0.4">
      <c r="B104" s="340" t="s">
        <v>1408</v>
      </c>
    </row>
    <row r="105" spans="2:2" ht="21.75" customHeight="1" x14ac:dyDescent="0.4">
      <c r="B105" s="340" t="s">
        <v>1409</v>
      </c>
    </row>
    <row r="106" spans="2:2" ht="21.75" customHeight="1" x14ac:dyDescent="0.4">
      <c r="B106" s="340" t="s">
        <v>1410</v>
      </c>
    </row>
    <row r="107" spans="2:2" ht="21.75" customHeight="1" x14ac:dyDescent="0.4">
      <c r="B107" s="340" t="s">
        <v>1411</v>
      </c>
    </row>
    <row r="108" spans="2:2" ht="21.75" customHeight="1" x14ac:dyDescent="0.4">
      <c r="B108" s="340" t="s">
        <v>1412</v>
      </c>
    </row>
    <row r="109" spans="2:2" ht="21.75" customHeight="1" x14ac:dyDescent="0.4">
      <c r="B109" s="340" t="s">
        <v>1413</v>
      </c>
    </row>
    <row r="111" spans="2:2" ht="30.75" customHeight="1" x14ac:dyDescent="0.4">
      <c r="B111" s="742" t="s">
        <v>1414</v>
      </c>
    </row>
    <row r="112" spans="2:2" ht="21.75" customHeight="1" x14ac:dyDescent="0.4">
      <c r="B112" s="340" t="s">
        <v>1415</v>
      </c>
    </row>
    <row r="113" spans="1:7" ht="21.75" customHeight="1" x14ac:dyDescent="0.4">
      <c r="A113" s="340" t="s">
        <v>1416</v>
      </c>
    </row>
    <row r="114" spans="1:7" ht="21.75" customHeight="1" x14ac:dyDescent="0.4">
      <c r="B114" s="340" t="s">
        <v>1434</v>
      </c>
    </row>
    <row r="115" spans="1:7" ht="21.75" customHeight="1" x14ac:dyDescent="0.4">
      <c r="A115" s="340" t="s">
        <v>1417</v>
      </c>
    </row>
    <row r="116" spans="1:7" ht="21.75" customHeight="1" x14ac:dyDescent="0.4">
      <c r="B116" s="340" t="s">
        <v>1418</v>
      </c>
    </row>
    <row r="117" spans="1:7" ht="21.75" customHeight="1" x14ac:dyDescent="0.4">
      <c r="A117" s="340" t="s">
        <v>1419</v>
      </c>
    </row>
    <row r="118" spans="1:7" ht="21.75" customHeight="1" x14ac:dyDescent="0.4">
      <c r="B118" s="340" t="s">
        <v>1435</v>
      </c>
    </row>
    <row r="119" spans="1:7" ht="21.75" customHeight="1" x14ac:dyDescent="0.4">
      <c r="A119" s="340" t="s">
        <v>1420</v>
      </c>
    </row>
    <row r="120" spans="1:7" ht="21.75" customHeight="1" x14ac:dyDescent="0.4">
      <c r="A120" s="340" t="s">
        <v>1421</v>
      </c>
    </row>
    <row r="121" spans="1:7" ht="21.75" customHeight="1" x14ac:dyDescent="0.4">
      <c r="B121" s="340" t="s">
        <v>1422</v>
      </c>
    </row>
    <row r="122" spans="1:7" ht="21.75" customHeight="1" x14ac:dyDescent="0.4">
      <c r="A122" s="340" t="s">
        <v>1423</v>
      </c>
    </row>
    <row r="123" spans="1:7" ht="21.75" customHeight="1" x14ac:dyDescent="0.4">
      <c r="A123" s="340" t="s">
        <v>1424</v>
      </c>
    </row>
    <row r="124" spans="1:7" ht="21.75" customHeight="1" x14ac:dyDescent="0.4">
      <c r="B124" s="340" t="s">
        <v>1425</v>
      </c>
    </row>
    <row r="125" spans="1:7" ht="21.75" customHeight="1" x14ac:dyDescent="0.4">
      <c r="A125" s="340" t="s">
        <v>1426</v>
      </c>
    </row>
    <row r="126" spans="1:7" ht="21.75" customHeight="1" x14ac:dyDescent="0.4">
      <c r="A126" s="340" t="s">
        <v>1427</v>
      </c>
    </row>
    <row r="128" spans="1:7" ht="21.75" customHeight="1" x14ac:dyDescent="0.4">
      <c r="E128" s="1499" t="s">
        <v>1428</v>
      </c>
      <c r="F128" s="1499"/>
      <c r="G128" s="1499"/>
    </row>
  </sheetData>
  <mergeCells count="3">
    <mergeCell ref="B2:E2"/>
    <mergeCell ref="A24:B24"/>
    <mergeCell ref="E128:G128"/>
  </mergeCells>
  <pageMargins left="0.85" right="0.45" top="0.75" bottom="0.5" header="0.5" footer="0.3"/>
  <pageSetup paperSize="9" orientation="portrait" r:id="rId1"/>
  <headerFooter>
    <oddHeader xml:space="preserve">&amp;R&amp;"TH SarabunIT๙,ธรรมดา"บ้านบางสามัคคี แผ่นที่ &amp;P/4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13" sqref="D13"/>
    </sheetView>
  </sheetViews>
  <sheetFormatPr defaultColWidth="9" defaultRowHeight="21" x14ac:dyDescent="0.4"/>
  <cols>
    <col min="1" max="1" width="4.625" style="340" customWidth="1"/>
    <col min="2" max="2" width="7.375" style="340" customWidth="1"/>
    <col min="3" max="3" width="6" style="340" customWidth="1"/>
    <col min="4" max="5" width="9" style="340" customWidth="1"/>
    <col min="6" max="6" width="11.125" style="340" bestFit="1" customWidth="1"/>
    <col min="7" max="7" width="9" style="340" customWidth="1"/>
    <col min="8" max="8" width="11.625" style="340" customWidth="1"/>
    <col min="9" max="9" width="10.375" style="340" customWidth="1"/>
    <col min="10" max="10" width="7.875" style="340" customWidth="1"/>
    <col min="11" max="11" width="1.25" style="340" customWidth="1"/>
    <col min="12" max="16384" width="9" style="340"/>
  </cols>
  <sheetData>
    <row r="1" spans="1:10" x14ac:dyDescent="0.4">
      <c r="A1" s="337"/>
      <c r="B1" s="338"/>
      <c r="C1" s="338"/>
      <c r="D1" s="338"/>
      <c r="E1" s="338"/>
      <c r="F1" s="338"/>
      <c r="G1" s="338"/>
      <c r="H1" s="338"/>
      <c r="I1" s="338"/>
      <c r="J1" s="339"/>
    </row>
    <row r="2" spans="1:10" ht="28.2" x14ac:dyDescent="0.5">
      <c r="A2" s="341"/>
      <c r="F2" s="342" t="s">
        <v>9</v>
      </c>
      <c r="J2" s="343"/>
    </row>
    <row r="3" spans="1:10" ht="28.2" x14ac:dyDescent="0.5">
      <c r="A3" s="341"/>
      <c r="F3" s="342" t="str">
        <f>ปกราคา!F6</f>
        <v>ประกอบแบบแปลนการก่อสร้างระบบประปาหมู่บ้าน</v>
      </c>
      <c r="J3" s="343"/>
    </row>
    <row r="4" spans="1:10" ht="28.2" x14ac:dyDescent="0.5">
      <c r="A4" s="341"/>
      <c r="F4" s="342">
        <f>ปกราคา!F7</f>
        <v>0</v>
      </c>
      <c r="J4" s="343"/>
    </row>
    <row r="5" spans="1:10" ht="28.2" x14ac:dyDescent="0.5">
      <c r="A5" s="341"/>
      <c r="F5" s="342" t="str">
        <f>ปกราคา!F8</f>
        <v>ปีงบประมาณ 256๖</v>
      </c>
      <c r="J5" s="343"/>
    </row>
    <row r="6" spans="1:10" ht="24.75" customHeight="1" x14ac:dyDescent="0.4">
      <c r="A6" s="341"/>
      <c r="J6" s="343"/>
    </row>
    <row r="7" spans="1:10" ht="24.75" customHeight="1" x14ac:dyDescent="0.4">
      <c r="A7" s="341"/>
      <c r="J7" s="343"/>
    </row>
    <row r="8" spans="1:10" ht="24.75" customHeight="1" x14ac:dyDescent="0.4">
      <c r="A8" s="341"/>
      <c r="J8" s="343"/>
    </row>
    <row r="9" spans="1:10" ht="24.75" customHeight="1" x14ac:dyDescent="0.4">
      <c r="A9" s="341"/>
      <c r="J9" s="343"/>
    </row>
    <row r="10" spans="1:10" ht="24.75" customHeight="1" x14ac:dyDescent="0.4">
      <c r="A10" s="341"/>
      <c r="J10" s="343"/>
    </row>
    <row r="11" spans="1:10" ht="25.2" x14ac:dyDescent="0.45">
      <c r="A11" s="341"/>
      <c r="F11" s="344" t="s">
        <v>142</v>
      </c>
      <c r="J11" s="343"/>
    </row>
    <row r="12" spans="1:10" ht="33" x14ac:dyDescent="0.6">
      <c r="A12" s="341"/>
      <c r="F12" s="345" t="str">
        <f>ปกราคา!F14</f>
        <v>บ้านวังใหญ่ หมู่ที่ ๕ ตำบลทุ่งหลวง</v>
      </c>
      <c r="J12" s="343"/>
    </row>
    <row r="13" spans="1:10" ht="33" x14ac:dyDescent="0.6">
      <c r="A13" s="341"/>
      <c r="F13" s="345" t="str">
        <f>ปกราคา!F15</f>
        <v xml:space="preserve">อำเภอเวียงสระ จังหวัดสุราษฎร์ธานี </v>
      </c>
      <c r="J13" s="343"/>
    </row>
    <row r="14" spans="1:10" ht="24.75" customHeight="1" x14ac:dyDescent="0.4">
      <c r="A14" s="341"/>
      <c r="J14" s="343"/>
    </row>
    <row r="15" spans="1:10" ht="24.75" customHeight="1" x14ac:dyDescent="0.4">
      <c r="A15" s="341"/>
      <c r="J15" s="343"/>
    </row>
    <row r="16" spans="1:10" ht="24.75" customHeight="1" x14ac:dyDescent="0.4">
      <c r="A16" s="341"/>
      <c r="J16" s="343"/>
    </row>
    <row r="17" spans="1:10" ht="24.75" customHeight="1" x14ac:dyDescent="0.4">
      <c r="A17" s="341"/>
      <c r="J17" s="343"/>
    </row>
    <row r="18" spans="1:10" ht="24.75" customHeight="1" x14ac:dyDescent="0.4">
      <c r="A18" s="341"/>
      <c r="J18" s="343"/>
    </row>
    <row r="19" spans="1:10" ht="24.75" customHeight="1" x14ac:dyDescent="0.4">
      <c r="A19" s="341"/>
      <c r="J19" s="343"/>
    </row>
    <row r="20" spans="1:10" ht="27" customHeight="1" x14ac:dyDescent="0.4">
      <c r="A20" s="341"/>
      <c r="D20" s="346" t="s">
        <v>10</v>
      </c>
      <c r="J20" s="343"/>
    </row>
    <row r="21" spans="1:10" ht="27" customHeight="1" x14ac:dyDescent="0.4">
      <c r="A21" s="341"/>
      <c r="E21" s="347" t="s">
        <v>294</v>
      </c>
      <c r="F21" s="347"/>
      <c r="J21" s="343"/>
    </row>
    <row r="22" spans="1:10" ht="27" customHeight="1" x14ac:dyDescent="0.5">
      <c r="A22" s="341"/>
      <c r="C22" s="348"/>
      <c r="E22" s="347" t="s">
        <v>297</v>
      </c>
      <c r="F22" s="347"/>
      <c r="J22" s="343"/>
    </row>
    <row r="23" spans="1:10" ht="27" customHeight="1" x14ac:dyDescent="0.5">
      <c r="A23" s="341"/>
      <c r="C23" s="348"/>
      <c r="E23" s="347" t="s">
        <v>8</v>
      </c>
      <c r="F23" s="347"/>
      <c r="J23" s="343"/>
    </row>
    <row r="24" spans="1:10" ht="27" customHeight="1" x14ac:dyDescent="0.5">
      <c r="A24" s="341"/>
      <c r="C24" s="348"/>
      <c r="E24" s="347" t="s">
        <v>298</v>
      </c>
      <c r="F24" s="347"/>
      <c r="J24" s="343"/>
    </row>
    <row r="25" spans="1:10" ht="27" customHeight="1" x14ac:dyDescent="0.5">
      <c r="A25" s="341"/>
      <c r="C25" s="348"/>
      <c r="E25" s="347" t="s">
        <v>299</v>
      </c>
      <c r="F25" s="347"/>
      <c r="J25" s="343"/>
    </row>
    <row r="26" spans="1:10" ht="27" customHeight="1" x14ac:dyDescent="0.4">
      <c r="A26" s="341"/>
      <c r="E26" s="349">
        <f>ปกราคา!E27</f>
        <v>0</v>
      </c>
      <c r="F26" s="349"/>
      <c r="J26" s="343"/>
    </row>
    <row r="27" spans="1:10" x14ac:dyDescent="0.4">
      <c r="A27" s="350"/>
      <c r="B27" s="351"/>
      <c r="C27" s="351"/>
      <c r="D27" s="351"/>
      <c r="E27" s="351"/>
      <c r="F27" s="351"/>
      <c r="G27" s="351"/>
      <c r="H27" s="351"/>
      <c r="I27" s="351"/>
      <c r="J27" s="352"/>
    </row>
    <row r="28" spans="1:10" ht="4.5" customHeight="1" x14ac:dyDescent="0.4"/>
  </sheetData>
  <phoneticPr fontId="27" type="noConversion"/>
  <pageMargins left="1.1417322834645669" right="0.74803149606299213" top="1.377952755905511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Y812"/>
  <sheetViews>
    <sheetView workbookViewId="0">
      <selection activeCell="Z5" sqref="Z5"/>
    </sheetView>
  </sheetViews>
  <sheetFormatPr defaultColWidth="9" defaultRowHeight="24" customHeight="1" x14ac:dyDescent="0.4"/>
  <cols>
    <col min="1" max="1" width="2.375" style="353" customWidth="1"/>
    <col min="2" max="2" width="5.875" style="354" customWidth="1"/>
    <col min="3" max="3" width="6.625" style="355" customWidth="1"/>
    <col min="4" max="4" width="6" style="355" customWidth="1"/>
    <col min="5" max="5" width="4.375" style="355" customWidth="1"/>
    <col min="6" max="6" width="5.25" style="355" customWidth="1"/>
    <col min="7" max="7" width="4.125" style="355" customWidth="1"/>
    <col min="8" max="9" width="3.75" style="355" customWidth="1"/>
    <col min="10" max="10" width="4.125" style="355" customWidth="1"/>
    <col min="11" max="11" width="5.125" style="355" customWidth="1"/>
    <col min="12" max="12" width="4.625" style="355" customWidth="1"/>
    <col min="13" max="13" width="5.75" style="355" customWidth="1"/>
    <col min="14" max="14" width="6" style="355" customWidth="1"/>
    <col min="15" max="16" width="3.625" style="355" customWidth="1"/>
    <col min="17" max="17" width="10.125" style="355" customWidth="1"/>
    <col min="18" max="18" width="3.75" style="355" customWidth="1"/>
    <col min="19" max="19" width="2.375" style="355" customWidth="1"/>
    <col min="20" max="20" width="2.25" style="355" customWidth="1"/>
    <col min="21" max="21" width="0.75" style="355" customWidth="1"/>
    <col min="22" max="22" width="1.125" style="355" customWidth="1"/>
    <col min="23" max="23" width="0.75" style="355" customWidth="1"/>
    <col min="24" max="16384" width="9" style="355"/>
  </cols>
  <sheetData>
    <row r="2" spans="1:11" ht="30" customHeight="1" x14ac:dyDescent="0.55000000000000004">
      <c r="K2" s="356" t="s">
        <v>9</v>
      </c>
    </row>
    <row r="3" spans="1:11" ht="30" customHeight="1" x14ac:dyDescent="0.55000000000000004">
      <c r="K3" s="356" t="str">
        <f>ปกราคา!F6</f>
        <v>ประกอบแบบแปลนการก่อสร้างระบบประปาหมู่บ้าน</v>
      </c>
    </row>
    <row r="4" spans="1:11" ht="30" customHeight="1" x14ac:dyDescent="0.5">
      <c r="K4" s="357">
        <f>ปกราคา!F7</f>
        <v>0</v>
      </c>
    </row>
    <row r="5" spans="1:11" ht="30" customHeight="1" x14ac:dyDescent="0.5">
      <c r="K5" s="357" t="str">
        <f>ปกราคา!F8</f>
        <v>ปีงบประมาณ 256๖</v>
      </c>
    </row>
    <row r="6" spans="1:11" ht="21.75" customHeight="1" x14ac:dyDescent="0.5">
      <c r="K6" s="357"/>
    </row>
    <row r="7" spans="1:11" s="358" customFormat="1" ht="21.75" customHeight="1" x14ac:dyDescent="0.6">
      <c r="B7" s="359"/>
      <c r="C7" s="358" t="s">
        <v>542</v>
      </c>
      <c r="K7" s="360"/>
    </row>
    <row r="8" spans="1:11" s="358" customFormat="1" ht="21.75" customHeight="1" x14ac:dyDescent="0.6">
      <c r="A8" s="358" t="s">
        <v>335</v>
      </c>
      <c r="B8" s="359"/>
      <c r="K8" s="360"/>
    </row>
    <row r="9" spans="1:11" s="358" customFormat="1" ht="21.75" customHeight="1" x14ac:dyDescent="0.6">
      <c r="B9" s="359"/>
      <c r="C9" s="358" t="s">
        <v>775</v>
      </c>
      <c r="K9" s="360"/>
    </row>
    <row r="10" spans="1:11" s="358" customFormat="1" ht="21.75" customHeight="1" x14ac:dyDescent="0.6">
      <c r="B10" s="359"/>
      <c r="C10" s="358" t="s">
        <v>776</v>
      </c>
      <c r="K10" s="360"/>
    </row>
    <row r="11" spans="1:11" s="358" customFormat="1" ht="21.75" customHeight="1" x14ac:dyDescent="0.6">
      <c r="B11" s="359"/>
      <c r="C11" s="358" t="s">
        <v>777</v>
      </c>
      <c r="K11" s="360"/>
    </row>
    <row r="12" spans="1:11" s="358" customFormat="1" ht="21.75" customHeight="1" x14ac:dyDescent="0.6">
      <c r="B12" s="359"/>
      <c r="C12" s="358" t="s">
        <v>778</v>
      </c>
      <c r="K12" s="360"/>
    </row>
    <row r="13" spans="1:11" s="358" customFormat="1" ht="21.75" customHeight="1" x14ac:dyDescent="0.6">
      <c r="B13" s="359"/>
      <c r="C13" s="358" t="s">
        <v>779</v>
      </c>
      <c r="K13" s="360"/>
    </row>
    <row r="14" spans="1:11" s="358" customFormat="1" ht="21.75" customHeight="1" x14ac:dyDescent="0.6">
      <c r="A14" s="358" t="s">
        <v>713</v>
      </c>
      <c r="B14" s="359"/>
      <c r="K14" s="360"/>
    </row>
    <row r="15" spans="1:11" s="358" customFormat="1" ht="21.75" customHeight="1" x14ac:dyDescent="0.6">
      <c r="A15" s="358" t="s">
        <v>714</v>
      </c>
      <c r="B15" s="359"/>
      <c r="K15" s="360"/>
    </row>
    <row r="16" spans="1:11" s="358" customFormat="1" ht="21.75" customHeight="1" x14ac:dyDescent="0.6">
      <c r="A16" s="358" t="s">
        <v>169</v>
      </c>
      <c r="B16" s="359"/>
      <c r="K16" s="360"/>
    </row>
    <row r="17" spans="1:11" s="358" customFormat="1" ht="21.75" customHeight="1" x14ac:dyDescent="0.6">
      <c r="A17" s="358" t="s">
        <v>170</v>
      </c>
      <c r="B17" s="359"/>
      <c r="K17" s="360"/>
    </row>
    <row r="18" spans="1:11" ht="21.75" customHeight="1" x14ac:dyDescent="0.5">
      <c r="A18" s="355"/>
      <c r="K18" s="361"/>
    </row>
    <row r="19" spans="1:11" ht="21.75" customHeight="1" x14ac:dyDescent="0.4">
      <c r="C19" s="353" t="s">
        <v>171</v>
      </c>
    </row>
    <row r="20" spans="1:11" ht="21.75" customHeight="1" x14ac:dyDescent="0.4">
      <c r="A20" s="353" t="s">
        <v>172</v>
      </c>
    </row>
    <row r="21" spans="1:11" ht="21.75" customHeight="1" x14ac:dyDescent="0.4">
      <c r="B21" s="362">
        <v>1</v>
      </c>
      <c r="C21" s="355" t="s">
        <v>173</v>
      </c>
    </row>
    <row r="22" spans="1:11" ht="21.75" customHeight="1" x14ac:dyDescent="0.4">
      <c r="B22" s="362">
        <v>2</v>
      </c>
      <c r="C22" s="355" t="s">
        <v>174</v>
      </c>
    </row>
    <row r="23" spans="1:11" ht="21.75" customHeight="1" x14ac:dyDescent="0.4">
      <c r="B23" s="362">
        <v>3</v>
      </c>
      <c r="C23" s="355" t="s">
        <v>175</v>
      </c>
    </row>
    <row r="24" spans="1:11" ht="21.75" customHeight="1" x14ac:dyDescent="0.4">
      <c r="B24" s="362">
        <v>4</v>
      </c>
      <c r="C24" s="355" t="s">
        <v>176</v>
      </c>
    </row>
    <row r="25" spans="1:11" ht="21.75" customHeight="1" x14ac:dyDescent="0.4">
      <c r="C25" s="363">
        <v>4.0999999999999996</v>
      </c>
      <c r="D25" s="355" t="s">
        <v>177</v>
      </c>
    </row>
    <row r="26" spans="1:11" ht="21.75" customHeight="1" x14ac:dyDescent="0.4">
      <c r="C26" s="363">
        <v>4.2</v>
      </c>
      <c r="D26" s="355" t="s">
        <v>243</v>
      </c>
    </row>
    <row r="27" spans="1:11" ht="21.75" customHeight="1" x14ac:dyDescent="0.4">
      <c r="C27" s="364"/>
      <c r="D27" s="355" t="s">
        <v>1</v>
      </c>
    </row>
    <row r="28" spans="1:11" ht="21.75" customHeight="1" x14ac:dyDescent="0.4">
      <c r="C28" s="363">
        <v>4.3</v>
      </c>
      <c r="D28" s="355" t="s">
        <v>159</v>
      </c>
    </row>
    <row r="29" spans="1:11" ht="21.75" customHeight="1" x14ac:dyDescent="0.4">
      <c r="C29" s="353"/>
    </row>
    <row r="30" spans="1:11" ht="21.75" customHeight="1" x14ac:dyDescent="0.4">
      <c r="C30" s="353"/>
    </row>
    <row r="31" spans="1:11" ht="21.75" customHeight="1" x14ac:dyDescent="0.4">
      <c r="C31" s="353"/>
    </row>
    <row r="32" spans="1:11" ht="21.75" customHeight="1" x14ac:dyDescent="0.4">
      <c r="C32" s="353"/>
    </row>
    <row r="33" spans="1:12" ht="21.75" customHeight="1" x14ac:dyDescent="0.4">
      <c r="C33" s="353"/>
    </row>
    <row r="34" spans="1:12" ht="21.75" customHeight="1" x14ac:dyDescent="0.4">
      <c r="C34" s="353"/>
    </row>
    <row r="35" spans="1:12" ht="21.75" customHeight="1" x14ac:dyDescent="0.4">
      <c r="C35" s="353"/>
    </row>
    <row r="36" spans="1:12" ht="21.75" customHeight="1" x14ac:dyDescent="0.4">
      <c r="A36" s="353">
        <v>1</v>
      </c>
      <c r="B36" s="365" t="s">
        <v>720</v>
      </c>
      <c r="E36" s="353"/>
      <c r="K36" s="366"/>
      <c r="L36" s="367"/>
    </row>
    <row r="37" spans="1:12" ht="21.75" customHeight="1" x14ac:dyDescent="0.4">
      <c r="B37" s="368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E37" s="353"/>
      <c r="K37" s="362"/>
    </row>
    <row r="38" spans="1:12" ht="21.75" customHeight="1" x14ac:dyDescent="0.4">
      <c r="A38" s="355"/>
      <c r="B38" s="369">
        <v>1.1000000000000001</v>
      </c>
      <c r="C38" s="355" t="s">
        <v>178</v>
      </c>
      <c r="K38" s="354"/>
    </row>
    <row r="39" spans="1:12" ht="21.75" customHeight="1" x14ac:dyDescent="0.4">
      <c r="A39" s="355"/>
      <c r="B39" s="362"/>
      <c r="C39" s="355" t="s">
        <v>284</v>
      </c>
      <c r="K39" s="354"/>
    </row>
    <row r="40" spans="1:12" ht="21.75" customHeight="1" x14ac:dyDescent="0.4">
      <c r="A40" s="355"/>
      <c r="B40" s="362"/>
      <c r="C40" s="355" t="s">
        <v>780</v>
      </c>
      <c r="K40" s="354"/>
    </row>
    <row r="41" spans="1:12" ht="21.75" customHeight="1" x14ac:dyDescent="0.4">
      <c r="A41" s="355"/>
      <c r="B41" s="362"/>
      <c r="C41" s="355" t="s">
        <v>661</v>
      </c>
      <c r="K41" s="354"/>
    </row>
    <row r="42" spans="1:12" ht="21.75" customHeight="1" x14ac:dyDescent="0.4">
      <c r="A42" s="355"/>
      <c r="B42" s="362"/>
      <c r="C42" s="355" t="s">
        <v>662</v>
      </c>
      <c r="K42" s="354"/>
    </row>
    <row r="43" spans="1:12" ht="21.75" customHeight="1" x14ac:dyDescent="0.4">
      <c r="A43" s="355"/>
      <c r="B43" s="362"/>
      <c r="C43" s="355" t="s">
        <v>160</v>
      </c>
      <c r="K43" s="354"/>
    </row>
    <row r="44" spans="1:12" ht="21.75" customHeight="1" x14ac:dyDescent="0.4">
      <c r="A44" s="355"/>
      <c r="B44" s="369">
        <v>1.2</v>
      </c>
      <c r="C44" s="355" t="s">
        <v>285</v>
      </c>
      <c r="K44" s="354"/>
    </row>
    <row r="45" spans="1:12" ht="21.75" customHeight="1" x14ac:dyDescent="0.4">
      <c r="A45" s="355"/>
      <c r="B45" s="362"/>
      <c r="C45" s="355" t="s">
        <v>781</v>
      </c>
      <c r="K45" s="354"/>
    </row>
    <row r="46" spans="1:12" ht="21.75" customHeight="1" x14ac:dyDescent="0.4">
      <c r="A46" s="355"/>
      <c r="B46" s="362"/>
      <c r="C46" s="355" t="s">
        <v>286</v>
      </c>
      <c r="K46" s="354"/>
    </row>
    <row r="47" spans="1:12" ht="21.75" customHeight="1" x14ac:dyDescent="0.4">
      <c r="A47" s="355"/>
      <c r="B47" s="362"/>
      <c r="C47" s="355" t="s">
        <v>84</v>
      </c>
      <c r="K47" s="354"/>
    </row>
    <row r="48" spans="1:12" ht="21.75" customHeight="1" x14ac:dyDescent="0.4">
      <c r="A48" s="355"/>
      <c r="B48" s="362"/>
      <c r="C48" s="355" t="s">
        <v>85</v>
      </c>
      <c r="K48" s="354"/>
    </row>
    <row r="49" spans="1:17" ht="21.75" customHeight="1" x14ac:dyDescent="0.4">
      <c r="A49" s="355"/>
      <c r="B49" s="369">
        <v>1.3</v>
      </c>
      <c r="C49" s="355" t="s">
        <v>287</v>
      </c>
      <c r="F49" s="353"/>
    </row>
    <row r="50" spans="1:17" ht="21.75" customHeight="1" x14ac:dyDescent="0.4">
      <c r="A50" s="355"/>
      <c r="B50" s="362"/>
      <c r="C50" s="355" t="s">
        <v>288</v>
      </c>
      <c r="F50" s="353"/>
    </row>
    <row r="51" spans="1:17" ht="21.75" customHeight="1" x14ac:dyDescent="0.4">
      <c r="A51" s="355"/>
      <c r="B51" s="362"/>
      <c r="C51" s="355" t="s">
        <v>289</v>
      </c>
      <c r="F51" s="353"/>
      <c r="J51" s="1500">
        <f>Q152</f>
        <v>911043</v>
      </c>
      <c r="K51" s="1500"/>
      <c r="L51" s="355" t="s">
        <v>290</v>
      </c>
    </row>
    <row r="52" spans="1:17" ht="21.75" customHeight="1" x14ac:dyDescent="0.4">
      <c r="A52" s="355"/>
      <c r="B52" s="362"/>
      <c r="C52" s="355" t="s">
        <v>782</v>
      </c>
      <c r="F52" s="353"/>
    </row>
    <row r="53" spans="1:17" ht="21.75" customHeight="1" x14ac:dyDescent="0.4">
      <c r="A53" s="355"/>
      <c r="B53" s="362"/>
      <c r="C53" s="355" t="s">
        <v>1448</v>
      </c>
      <c r="F53" s="353"/>
    </row>
    <row r="54" spans="1:17" ht="21.75" customHeight="1" x14ac:dyDescent="0.4">
      <c r="A54" s="355"/>
      <c r="B54" s="362"/>
      <c r="C54" s="355" t="s">
        <v>440</v>
      </c>
      <c r="F54" s="353"/>
    </row>
    <row r="55" spans="1:17" ht="21.75" customHeight="1" x14ac:dyDescent="0.4">
      <c r="A55" s="355"/>
      <c r="B55" s="362"/>
      <c r="C55" s="355" t="s">
        <v>441</v>
      </c>
      <c r="F55" s="353"/>
    </row>
    <row r="56" spans="1:17" ht="21.75" customHeight="1" x14ac:dyDescent="0.4">
      <c r="A56" s="355"/>
      <c r="B56" s="362"/>
      <c r="C56" s="355" t="s">
        <v>244</v>
      </c>
      <c r="F56" s="353"/>
    </row>
    <row r="57" spans="1:17" ht="21.75" customHeight="1" x14ac:dyDescent="0.4">
      <c r="A57" s="355"/>
      <c r="B57" s="362"/>
      <c r="C57" s="1500">
        <f>J51</f>
        <v>911043</v>
      </c>
      <c r="D57" s="1500"/>
      <c r="E57" s="355" t="s">
        <v>11</v>
      </c>
    </row>
    <row r="58" spans="1:17" ht="21.75" customHeight="1" x14ac:dyDescent="0.4">
      <c r="A58" s="355"/>
      <c r="B58" s="369">
        <v>1.4</v>
      </c>
      <c r="C58" s="355" t="s">
        <v>1449</v>
      </c>
      <c r="F58" s="353"/>
    </row>
    <row r="59" spans="1:17" ht="21.75" customHeight="1" x14ac:dyDescent="0.4">
      <c r="A59" s="355"/>
      <c r="B59" s="362"/>
      <c r="C59" s="355" t="s">
        <v>1450</v>
      </c>
      <c r="F59" s="353"/>
    </row>
    <row r="60" spans="1:17" ht="21.75" customHeight="1" x14ac:dyDescent="0.4">
      <c r="A60" s="355"/>
      <c r="B60" s="362"/>
      <c r="C60" s="355" t="s">
        <v>1590</v>
      </c>
      <c r="F60" s="353"/>
      <c r="M60" s="355" t="s">
        <v>442</v>
      </c>
      <c r="P60" s="1507">
        <v>3212015</v>
      </c>
      <c r="Q60" s="1507"/>
    </row>
    <row r="61" spans="1:17" ht="21.75" customHeight="1" x14ac:dyDescent="0.4">
      <c r="A61" s="355"/>
      <c r="B61" s="369">
        <v>1.5</v>
      </c>
      <c r="C61" s="355" t="s">
        <v>86</v>
      </c>
      <c r="F61" s="353"/>
    </row>
    <row r="62" spans="1:17" ht="21.75" customHeight="1" x14ac:dyDescent="0.4">
      <c r="A62" s="355"/>
      <c r="B62" s="362"/>
      <c r="C62" s="355" t="s">
        <v>87</v>
      </c>
      <c r="F62" s="353"/>
    </row>
    <row r="63" spans="1:17" ht="21.75" customHeight="1" x14ac:dyDescent="0.4">
      <c r="A63" s="355"/>
      <c r="B63" s="362"/>
      <c r="C63" s="355" t="s">
        <v>1451</v>
      </c>
      <c r="D63" s="355" t="s">
        <v>221</v>
      </c>
      <c r="F63" s="353"/>
    </row>
    <row r="64" spans="1:17" ht="21.75" customHeight="1" x14ac:dyDescent="0.4">
      <c r="A64" s="355"/>
      <c r="B64" s="362"/>
      <c r="C64" s="355" t="s">
        <v>1452</v>
      </c>
      <c r="D64" s="355" t="s">
        <v>443</v>
      </c>
      <c r="F64" s="353"/>
    </row>
    <row r="65" spans="1:6" ht="21.75" customHeight="1" x14ac:dyDescent="0.4">
      <c r="A65" s="355"/>
      <c r="B65" s="362"/>
      <c r="C65" s="355" t="s">
        <v>1453</v>
      </c>
      <c r="D65" s="355" t="s">
        <v>640</v>
      </c>
      <c r="F65" s="353"/>
    </row>
    <row r="66" spans="1:6" ht="21.75" customHeight="1" x14ac:dyDescent="0.4">
      <c r="A66" s="355"/>
      <c r="B66" s="362"/>
      <c r="D66" s="355" t="s">
        <v>641</v>
      </c>
      <c r="F66" s="353"/>
    </row>
    <row r="67" spans="1:6" ht="21.75" customHeight="1" x14ac:dyDescent="0.4">
      <c r="A67" s="355"/>
      <c r="B67" s="362"/>
      <c r="C67" s="355" t="s">
        <v>1455</v>
      </c>
      <c r="F67" s="353"/>
    </row>
    <row r="68" spans="1:6" ht="21.75" customHeight="1" x14ac:dyDescent="0.4">
      <c r="A68" s="355"/>
      <c r="B68" s="362"/>
      <c r="D68" s="355" t="s">
        <v>1454</v>
      </c>
      <c r="F68" s="353"/>
    </row>
    <row r="69" spans="1:6" ht="21.75" customHeight="1" x14ac:dyDescent="0.4">
      <c r="A69" s="355"/>
      <c r="B69" s="362"/>
      <c r="C69" s="355" t="s">
        <v>1456</v>
      </c>
      <c r="F69" s="353"/>
    </row>
    <row r="70" spans="1:6" ht="21.75" customHeight="1" x14ac:dyDescent="0.4">
      <c r="A70" s="355"/>
      <c r="B70" s="362"/>
      <c r="C70" s="355" t="s">
        <v>1457</v>
      </c>
      <c r="F70" s="353"/>
    </row>
    <row r="71" spans="1:6" ht="21.75" customHeight="1" x14ac:dyDescent="0.4">
      <c r="A71" s="355"/>
      <c r="B71" s="362"/>
      <c r="C71" s="355" t="s">
        <v>13</v>
      </c>
      <c r="F71" s="353"/>
    </row>
    <row r="72" spans="1:6" ht="21.75" customHeight="1" x14ac:dyDescent="0.4">
      <c r="A72" s="355"/>
      <c r="B72" s="362"/>
      <c r="C72" s="355" t="s">
        <v>12</v>
      </c>
      <c r="F72" s="353"/>
    </row>
    <row r="73" spans="1:6" ht="21.75" customHeight="1" x14ac:dyDescent="0.4">
      <c r="A73" s="355"/>
      <c r="B73" s="362"/>
      <c r="C73" s="355" t="s">
        <v>14</v>
      </c>
      <c r="F73" s="353"/>
    </row>
    <row r="74" spans="1:6" ht="21.75" customHeight="1" x14ac:dyDescent="0.4">
      <c r="A74" s="355"/>
      <c r="B74" s="362"/>
      <c r="C74" s="355" t="s">
        <v>15</v>
      </c>
      <c r="F74" s="353"/>
    </row>
    <row r="75" spans="1:6" ht="21.75" customHeight="1" x14ac:dyDescent="0.4">
      <c r="A75" s="355"/>
      <c r="B75" s="362"/>
      <c r="C75" s="355" t="s">
        <v>16</v>
      </c>
      <c r="F75" s="353"/>
    </row>
    <row r="76" spans="1:6" ht="21.75" customHeight="1" x14ac:dyDescent="0.4">
      <c r="A76" s="355"/>
      <c r="B76" s="369">
        <v>1.6</v>
      </c>
      <c r="C76" s="355" t="s">
        <v>17</v>
      </c>
      <c r="F76" s="353"/>
    </row>
    <row r="77" spans="1:6" ht="21.75" customHeight="1" x14ac:dyDescent="0.4">
      <c r="A77" s="355"/>
      <c r="B77" s="362"/>
      <c r="C77" s="355" t="s">
        <v>18</v>
      </c>
      <c r="F77" s="353"/>
    </row>
    <row r="78" spans="1:6" ht="21.75" customHeight="1" x14ac:dyDescent="0.4">
      <c r="A78" s="355"/>
      <c r="B78" s="362"/>
      <c r="C78" s="355" t="s">
        <v>663</v>
      </c>
      <c r="F78" s="353"/>
    </row>
    <row r="79" spans="1:6" ht="21.75" customHeight="1" x14ac:dyDescent="0.4">
      <c r="A79" s="355"/>
      <c r="B79" s="362"/>
      <c r="C79" s="355" t="s">
        <v>783</v>
      </c>
      <c r="F79" s="353"/>
    </row>
    <row r="80" spans="1:6" ht="21.75" customHeight="1" x14ac:dyDescent="0.4">
      <c r="A80" s="355"/>
      <c r="B80" s="369">
        <v>1.7</v>
      </c>
      <c r="C80" s="355" t="s">
        <v>664</v>
      </c>
      <c r="F80" s="353"/>
    </row>
    <row r="81" spans="1:6" ht="21.75" customHeight="1" x14ac:dyDescent="0.4">
      <c r="A81" s="355"/>
      <c r="B81" s="362"/>
      <c r="C81" s="355" t="s">
        <v>665</v>
      </c>
      <c r="F81" s="353"/>
    </row>
    <row r="82" spans="1:6" ht="21.75" customHeight="1" x14ac:dyDescent="0.4">
      <c r="A82" s="355"/>
      <c r="B82" s="362"/>
      <c r="C82" s="355" t="s">
        <v>666</v>
      </c>
      <c r="F82" s="353"/>
    </row>
    <row r="83" spans="1:6" ht="21.75" customHeight="1" x14ac:dyDescent="0.4">
      <c r="A83" s="355"/>
      <c r="B83" s="362"/>
      <c r="C83" s="355" t="s">
        <v>667</v>
      </c>
      <c r="F83" s="353"/>
    </row>
    <row r="84" spans="1:6" ht="21.75" customHeight="1" x14ac:dyDescent="0.4">
      <c r="A84" s="355"/>
      <c r="B84" s="362"/>
      <c r="C84" s="355" t="s">
        <v>668</v>
      </c>
      <c r="F84" s="353"/>
    </row>
    <row r="85" spans="1:6" ht="21.75" customHeight="1" x14ac:dyDescent="0.4">
      <c r="A85" s="355"/>
      <c r="B85" s="362"/>
      <c r="C85" s="355" t="s">
        <v>669</v>
      </c>
      <c r="F85" s="353"/>
    </row>
    <row r="86" spans="1:6" ht="21.75" customHeight="1" x14ac:dyDescent="0.4">
      <c r="A86" s="355"/>
      <c r="B86" s="362"/>
      <c r="C86" s="355" t="s">
        <v>784</v>
      </c>
      <c r="F86" s="353"/>
    </row>
    <row r="87" spans="1:6" ht="21.75" customHeight="1" x14ac:dyDescent="0.4">
      <c r="A87" s="355"/>
      <c r="B87" s="362"/>
      <c r="C87" s="355" t="s">
        <v>785</v>
      </c>
      <c r="F87" s="353"/>
    </row>
    <row r="88" spans="1:6" ht="21.75" customHeight="1" x14ac:dyDescent="0.4">
      <c r="A88" s="355"/>
      <c r="B88" s="362"/>
      <c r="C88" s="355" t="s">
        <v>670</v>
      </c>
    </row>
    <row r="89" spans="1:6" ht="21.75" customHeight="1" x14ac:dyDescent="0.4">
      <c r="A89" s="355"/>
      <c r="B89" s="369">
        <v>1.8</v>
      </c>
      <c r="C89" s="355" t="s">
        <v>671</v>
      </c>
    </row>
    <row r="90" spans="1:6" ht="21.75" customHeight="1" x14ac:dyDescent="0.4">
      <c r="A90" s="355"/>
      <c r="B90" s="362"/>
      <c r="C90" s="355" t="s">
        <v>1458</v>
      </c>
      <c r="D90" s="355" t="s">
        <v>642</v>
      </c>
    </row>
    <row r="91" spans="1:6" ht="21.75" customHeight="1" x14ac:dyDescent="0.4">
      <c r="A91" s="355"/>
      <c r="B91" s="362"/>
      <c r="D91" s="355" t="s">
        <v>786</v>
      </c>
    </row>
    <row r="92" spans="1:6" ht="21.75" customHeight="1" x14ac:dyDescent="0.4">
      <c r="A92" s="355"/>
      <c r="B92" s="362"/>
      <c r="C92" s="355" t="s">
        <v>1459</v>
      </c>
      <c r="D92" s="355" t="s">
        <v>643</v>
      </c>
    </row>
    <row r="93" spans="1:6" ht="21.75" customHeight="1" x14ac:dyDescent="0.4">
      <c r="A93" s="355"/>
      <c r="B93" s="362"/>
      <c r="D93" s="355" t="s">
        <v>644</v>
      </c>
    </row>
    <row r="94" spans="1:6" ht="21.75" customHeight="1" x14ac:dyDescent="0.4">
      <c r="A94" s="355"/>
      <c r="B94" s="362"/>
      <c r="C94" s="355" t="s">
        <v>1460</v>
      </c>
      <c r="D94" s="355" t="s">
        <v>253</v>
      </c>
    </row>
    <row r="95" spans="1:6" ht="21.75" customHeight="1" x14ac:dyDescent="0.4">
      <c r="A95" s="355"/>
      <c r="B95" s="362"/>
      <c r="D95" s="355" t="s">
        <v>254</v>
      </c>
    </row>
    <row r="96" spans="1:6" ht="21.75" customHeight="1" x14ac:dyDescent="0.4">
      <c r="A96" s="355"/>
      <c r="B96" s="362"/>
      <c r="D96" s="355" t="s">
        <v>255</v>
      </c>
    </row>
    <row r="97" spans="1:4" ht="21.75" customHeight="1" x14ac:dyDescent="0.4">
      <c r="A97" s="355"/>
      <c r="B97" s="362"/>
      <c r="D97" s="355" t="s">
        <v>256</v>
      </c>
    </row>
    <row r="98" spans="1:4" ht="21.75" customHeight="1" x14ac:dyDescent="0.4">
      <c r="B98" s="369">
        <v>1.9</v>
      </c>
      <c r="C98" s="355" t="s">
        <v>57</v>
      </c>
    </row>
    <row r="99" spans="1:4" ht="21.75" customHeight="1" x14ac:dyDescent="0.4">
      <c r="C99" s="355" t="s">
        <v>58</v>
      </c>
    </row>
    <row r="100" spans="1:4" ht="21.75" customHeight="1" x14ac:dyDescent="0.4">
      <c r="C100" s="355" t="s">
        <v>59</v>
      </c>
    </row>
    <row r="101" spans="1:4" ht="21.75" customHeight="1" x14ac:dyDescent="0.4">
      <c r="B101" s="370">
        <v>1.1000000000000001</v>
      </c>
      <c r="C101" s="355" t="s">
        <v>787</v>
      </c>
    </row>
    <row r="102" spans="1:4" ht="21.75" customHeight="1" x14ac:dyDescent="0.4">
      <c r="C102" s="355" t="s">
        <v>60</v>
      </c>
    </row>
    <row r="103" spans="1:4" ht="21.75" customHeight="1" x14ac:dyDescent="0.4">
      <c r="C103" s="355" t="s">
        <v>61</v>
      </c>
    </row>
    <row r="104" spans="1:4" ht="21.75" customHeight="1" x14ac:dyDescent="0.4">
      <c r="C104" s="355" t="s">
        <v>62</v>
      </c>
    </row>
    <row r="105" spans="1:4" ht="21.75" customHeight="1" x14ac:dyDescent="0.4">
      <c r="C105" s="355" t="s">
        <v>63</v>
      </c>
    </row>
    <row r="106" spans="1:4" ht="21.75" customHeight="1" x14ac:dyDescent="0.4">
      <c r="C106" s="355" t="s">
        <v>64</v>
      </c>
    </row>
    <row r="107" spans="1:4" ht="21.75" customHeight="1" x14ac:dyDescent="0.4">
      <c r="B107" s="370">
        <v>1.1100000000000001</v>
      </c>
      <c r="C107" s="355" t="s">
        <v>1461</v>
      </c>
    </row>
    <row r="108" spans="1:4" ht="21.75" customHeight="1" x14ac:dyDescent="0.4">
      <c r="B108" s="1108"/>
      <c r="C108" s="355" t="s">
        <v>1462</v>
      </c>
    </row>
    <row r="109" spans="1:4" ht="21.75" customHeight="1" x14ac:dyDescent="0.4">
      <c r="B109" s="1108"/>
      <c r="C109" s="355" t="s">
        <v>1463</v>
      </c>
    </row>
    <row r="110" spans="1:4" ht="21.75" customHeight="1" x14ac:dyDescent="0.4">
      <c r="B110" s="1108"/>
      <c r="C110" s="355" t="s">
        <v>1464</v>
      </c>
    </row>
    <row r="111" spans="1:4" ht="21.75" customHeight="1" x14ac:dyDescent="0.4">
      <c r="B111" s="1108"/>
      <c r="C111" s="355" t="s">
        <v>1465</v>
      </c>
    </row>
    <row r="112" spans="1:4" ht="21.75" customHeight="1" x14ac:dyDescent="0.4">
      <c r="B112" s="370">
        <v>1.1200000000000001</v>
      </c>
      <c r="C112" s="355" t="s">
        <v>438</v>
      </c>
    </row>
    <row r="113" spans="1:19" ht="21.75" customHeight="1" x14ac:dyDescent="0.4">
      <c r="C113" s="355" t="s">
        <v>439</v>
      </c>
    </row>
    <row r="114" spans="1:19" ht="21.75" customHeight="1" x14ac:dyDescent="0.4">
      <c r="B114" s="370">
        <v>1.1299999999999999</v>
      </c>
      <c r="C114" s="355" t="s">
        <v>1116</v>
      </c>
    </row>
    <row r="115" spans="1:19" ht="21.75" customHeight="1" x14ac:dyDescent="0.4">
      <c r="C115" s="355" t="s">
        <v>1117</v>
      </c>
    </row>
    <row r="116" spans="1:19" ht="21.75" customHeight="1" x14ac:dyDescent="0.4">
      <c r="B116" s="370">
        <v>1.1399999999999999</v>
      </c>
      <c r="C116" s="355" t="s">
        <v>672</v>
      </c>
    </row>
    <row r="117" spans="1:19" ht="21.75" customHeight="1" x14ac:dyDescent="0.4">
      <c r="C117" s="355" t="s">
        <v>789</v>
      </c>
    </row>
    <row r="118" spans="1:19" ht="21.75" customHeight="1" x14ac:dyDescent="0.4">
      <c r="C118" s="355" t="s">
        <v>673</v>
      </c>
    </row>
    <row r="119" spans="1:19" ht="21.75" customHeight="1" x14ac:dyDescent="0.4">
      <c r="C119" s="355" t="s">
        <v>1575</v>
      </c>
    </row>
    <row r="120" spans="1:19" ht="21.75" customHeight="1" x14ac:dyDescent="0.4">
      <c r="B120" s="370">
        <v>1.1499999999999999</v>
      </c>
      <c r="C120" s="355" t="s">
        <v>646</v>
      </c>
    </row>
    <row r="121" spans="1:19" ht="21.75" customHeight="1" x14ac:dyDescent="0.4">
      <c r="C121" s="355" t="s">
        <v>1591</v>
      </c>
    </row>
    <row r="122" spans="1:19" ht="21.75" customHeight="1" x14ac:dyDescent="0.4">
      <c r="C122" s="355" t="s">
        <v>308</v>
      </c>
    </row>
    <row r="123" spans="1:19" ht="21.75" customHeight="1" x14ac:dyDescent="0.4">
      <c r="B123" s="370">
        <v>1.1599999999999999</v>
      </c>
      <c r="C123" s="355" t="s">
        <v>674</v>
      </c>
    </row>
    <row r="124" spans="1:19" ht="21.75" customHeight="1" x14ac:dyDescent="0.4">
      <c r="B124" s="362"/>
      <c r="C124" s="355" t="s">
        <v>675</v>
      </c>
    </row>
    <row r="125" spans="1:19" ht="24.75" customHeight="1" x14ac:dyDescent="0.4">
      <c r="B125" s="362"/>
    </row>
    <row r="126" spans="1:19" s="376" customFormat="1" ht="13.5" customHeight="1" x14ac:dyDescent="0.4">
      <c r="A126" s="367"/>
      <c r="B126" s="371"/>
      <c r="C126" s="372"/>
      <c r="D126" s="373"/>
      <c r="E126" s="374"/>
      <c r="F126" s="373"/>
      <c r="G126" s="373"/>
      <c r="H126" s="375"/>
      <c r="I126" s="373"/>
      <c r="J126" s="373"/>
      <c r="K126" s="373"/>
      <c r="L126" s="373"/>
      <c r="M126" s="373"/>
      <c r="N126" s="373"/>
      <c r="O126" s="373"/>
      <c r="P126" s="373"/>
      <c r="Q126" s="373"/>
      <c r="R126" s="373"/>
      <c r="S126" s="374"/>
    </row>
    <row r="127" spans="1:19" ht="36.75" customHeight="1" x14ac:dyDescent="0.4">
      <c r="C127" s="377"/>
      <c r="E127" s="378"/>
      <c r="F127" s="379"/>
      <c r="G127" s="379" t="s">
        <v>1592</v>
      </c>
      <c r="H127" s="367"/>
      <c r="S127" s="378"/>
    </row>
    <row r="128" spans="1:19" ht="21.75" customHeight="1" x14ac:dyDescent="0.4">
      <c r="C128" s="377"/>
      <c r="E128" s="378"/>
      <c r="F128" s="380" t="s">
        <v>0</v>
      </c>
      <c r="H128" s="367"/>
      <c r="S128" s="378"/>
    </row>
    <row r="129" spans="1:19" ht="21.75" customHeight="1" x14ac:dyDescent="0.4">
      <c r="C129" s="381" t="s">
        <v>721</v>
      </c>
      <c r="D129" s="382"/>
      <c r="E129" s="383"/>
      <c r="F129" s="382"/>
      <c r="G129" s="382"/>
      <c r="H129" s="382"/>
      <c r="I129" s="382"/>
      <c r="J129" s="382"/>
      <c r="K129" s="382"/>
      <c r="L129" s="382"/>
      <c r="M129" s="382"/>
      <c r="N129" s="382"/>
      <c r="O129" s="382"/>
      <c r="P129" s="382"/>
      <c r="Q129" s="382"/>
      <c r="R129" s="382"/>
      <c r="S129" s="384"/>
    </row>
    <row r="130" spans="1:19" ht="21.75" customHeight="1" x14ac:dyDescent="0.4">
      <c r="B130" s="385" t="s">
        <v>788</v>
      </c>
      <c r="C130" s="386" t="s">
        <v>1593</v>
      </c>
      <c r="R130" s="354"/>
      <c r="S130" s="387"/>
    </row>
    <row r="131" spans="1:19" ht="21.75" customHeight="1" x14ac:dyDescent="0.4">
      <c r="C131" s="386" t="s">
        <v>703</v>
      </c>
      <c r="S131" s="378"/>
    </row>
    <row r="132" spans="1:19" ht="21.75" customHeight="1" x14ac:dyDescent="0.4">
      <c r="C132" s="386" t="s">
        <v>704</v>
      </c>
      <c r="S132" s="378"/>
    </row>
    <row r="133" spans="1:19" ht="21.75" customHeight="1" x14ac:dyDescent="0.4">
      <c r="C133" s="386" t="s">
        <v>705</v>
      </c>
      <c r="S133" s="378"/>
    </row>
    <row r="134" spans="1:19" ht="21.75" customHeight="1" x14ac:dyDescent="0.4">
      <c r="C134" s="386" t="s">
        <v>706</v>
      </c>
      <c r="S134" s="378"/>
    </row>
    <row r="135" spans="1:19" ht="21.75" customHeight="1" x14ac:dyDescent="0.4">
      <c r="C135" s="386" t="s">
        <v>707</v>
      </c>
      <c r="S135" s="378"/>
    </row>
    <row r="136" spans="1:19" ht="21.75" customHeight="1" x14ac:dyDescent="0.4">
      <c r="C136" s="386" t="s">
        <v>708</v>
      </c>
      <c r="S136" s="378"/>
    </row>
    <row r="137" spans="1:19" ht="9" customHeight="1" x14ac:dyDescent="0.4">
      <c r="C137" s="388"/>
      <c r="D137" s="389"/>
      <c r="E137" s="389"/>
      <c r="F137" s="389"/>
      <c r="G137" s="389"/>
      <c r="H137" s="389"/>
      <c r="I137" s="389"/>
      <c r="J137" s="389"/>
      <c r="K137" s="389"/>
      <c r="L137" s="389"/>
      <c r="M137" s="389"/>
      <c r="N137" s="389"/>
      <c r="O137" s="389"/>
      <c r="P137" s="389"/>
      <c r="Q137" s="389"/>
      <c r="R137" s="389"/>
      <c r="S137" s="390"/>
    </row>
    <row r="138" spans="1:19" ht="24.75" customHeight="1" x14ac:dyDescent="0.4">
      <c r="C138" s="382" t="s">
        <v>709</v>
      </c>
      <c r="D138" s="382"/>
      <c r="E138" s="382"/>
      <c r="F138" s="382"/>
      <c r="G138" s="382"/>
      <c r="H138" s="382"/>
      <c r="I138" s="382"/>
      <c r="J138" s="382"/>
      <c r="K138" s="382"/>
      <c r="L138" s="382"/>
      <c r="M138" s="382"/>
      <c r="N138" s="382"/>
      <c r="O138" s="382"/>
      <c r="P138" s="382"/>
      <c r="Q138" s="382"/>
      <c r="R138" s="382"/>
      <c r="S138" s="382"/>
    </row>
    <row r="139" spans="1:19" ht="24.75" customHeight="1" x14ac:dyDescent="0.4">
      <c r="K139" s="355" t="s">
        <v>790</v>
      </c>
    </row>
    <row r="140" spans="1:19" ht="21.75" customHeight="1" x14ac:dyDescent="0.4"/>
    <row r="141" spans="1:19" ht="21.75" customHeight="1" x14ac:dyDescent="0.4"/>
    <row r="142" spans="1:19" ht="21.75" customHeight="1" x14ac:dyDescent="0.4"/>
    <row r="143" spans="1:19" ht="21.75" customHeight="1" x14ac:dyDescent="0.4"/>
    <row r="144" spans="1:19" ht="21.75" customHeight="1" x14ac:dyDescent="0.4">
      <c r="A144" s="391">
        <v>2</v>
      </c>
      <c r="B144" s="392" t="s">
        <v>722</v>
      </c>
      <c r="C144" s="393"/>
      <c r="D144" s="393"/>
      <c r="E144" s="393"/>
      <c r="F144" s="393"/>
      <c r="G144" s="393"/>
      <c r="H144" s="393"/>
      <c r="I144" s="393"/>
      <c r="J144" s="393"/>
      <c r="K144" s="393"/>
      <c r="L144" s="393"/>
      <c r="M144" s="393"/>
      <c r="N144" s="393"/>
      <c r="O144" s="393"/>
      <c r="P144" s="393"/>
      <c r="Q144" s="393"/>
      <c r="R144" s="393"/>
      <c r="S144" s="394"/>
    </row>
    <row r="145" spans="1:22" s="380" customFormat="1" ht="26.25" customHeight="1" x14ac:dyDescent="0.4">
      <c r="A145" s="395"/>
      <c r="B145" s="365" t="s">
        <v>1220</v>
      </c>
    </row>
    <row r="146" spans="1:22" s="380" customFormat="1" ht="21.75" customHeight="1" x14ac:dyDescent="0.4">
      <c r="A146" s="395"/>
      <c r="B146" s="396"/>
      <c r="C146" s="355" t="str">
        <f>B37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</row>
    <row r="147" spans="1:22" s="380" customFormat="1" ht="21.75" customHeight="1" x14ac:dyDescent="0.4">
      <c r="A147" s="355"/>
      <c r="B147" s="355" t="s">
        <v>558</v>
      </c>
      <c r="C147" s="355"/>
      <c r="D147" s="355">
        <v>16</v>
      </c>
      <c r="E147" s="355" t="s">
        <v>19</v>
      </c>
    </row>
    <row r="148" spans="1:22" ht="21.75" customHeight="1" x14ac:dyDescent="0.4">
      <c r="A148" s="397" t="s">
        <v>522</v>
      </c>
      <c r="B148" s="398"/>
      <c r="C148" s="399" t="s">
        <v>125</v>
      </c>
      <c r="D148" s="399"/>
      <c r="E148" s="399"/>
      <c r="F148" s="399"/>
      <c r="G148" s="399"/>
      <c r="H148" s="399"/>
      <c r="I148" s="398"/>
      <c r="J148" s="399"/>
      <c r="K148" s="399"/>
      <c r="L148" s="399"/>
      <c r="M148" s="399"/>
      <c r="N148" s="400"/>
      <c r="O148" s="1502" t="s">
        <v>442</v>
      </c>
      <c r="P148" s="1502"/>
      <c r="Q148" s="1502"/>
      <c r="R148" s="1502"/>
      <c r="S148" s="1503"/>
    </row>
    <row r="149" spans="1:22" ht="21.75" customHeight="1" x14ac:dyDescent="0.4">
      <c r="A149" s="401">
        <v>1</v>
      </c>
      <c r="B149" s="402"/>
      <c r="C149" s="403" t="s">
        <v>955</v>
      </c>
      <c r="D149" s="404"/>
      <c r="E149" s="404"/>
      <c r="F149" s="404"/>
      <c r="G149" s="404"/>
      <c r="H149" s="404"/>
      <c r="I149" s="404"/>
      <c r="J149" s="404"/>
      <c r="K149" s="404"/>
      <c r="L149" s="404"/>
      <c r="M149" s="404"/>
      <c r="N149" s="405"/>
      <c r="O149" s="406"/>
      <c r="P149" s="406"/>
      <c r="Q149" s="407"/>
      <c r="R149" s="406"/>
      <c r="S149" s="405"/>
    </row>
    <row r="150" spans="1:22" ht="21.75" customHeight="1" x14ac:dyDescent="0.4">
      <c r="A150" s="408"/>
      <c r="B150" s="409"/>
      <c r="C150" s="410" t="s">
        <v>990</v>
      </c>
      <c r="D150" s="411"/>
      <c r="E150" s="411"/>
      <c r="F150" s="411"/>
      <c r="G150" s="411"/>
      <c r="H150" s="411"/>
      <c r="I150" s="411"/>
      <c r="J150" s="411"/>
      <c r="K150" s="411"/>
      <c r="L150" s="411"/>
      <c r="M150" s="411"/>
      <c r="N150" s="412"/>
      <c r="O150" s="413"/>
      <c r="P150" s="414"/>
      <c r="Q150" s="415">
        <v>921001</v>
      </c>
      <c r="R150" s="414"/>
      <c r="S150" s="412"/>
    </row>
    <row r="151" spans="1:22" ht="21.75" customHeight="1" x14ac:dyDescent="0.4">
      <c r="A151" s="408"/>
      <c r="B151" s="409"/>
      <c r="C151" s="416" t="s">
        <v>991</v>
      </c>
      <c r="D151" s="411"/>
      <c r="E151" s="411"/>
      <c r="F151" s="411"/>
      <c r="G151" s="411"/>
      <c r="H151" s="411"/>
      <c r="I151" s="411"/>
      <c r="J151" s="411"/>
      <c r="K151" s="411"/>
      <c r="L151" s="411"/>
      <c r="M151" s="411"/>
      <c r="N151" s="412"/>
      <c r="O151" s="413"/>
      <c r="P151" s="414"/>
      <c r="Q151" s="415">
        <v>921001</v>
      </c>
      <c r="R151" s="414"/>
      <c r="S151" s="412"/>
    </row>
    <row r="152" spans="1:22" ht="21.75" customHeight="1" x14ac:dyDescent="0.4">
      <c r="A152" s="408"/>
      <c r="B152" s="409"/>
      <c r="C152" s="416" t="s">
        <v>994</v>
      </c>
      <c r="D152" s="411"/>
      <c r="E152" s="411"/>
      <c r="F152" s="411"/>
      <c r="G152" s="411"/>
      <c r="H152" s="411"/>
      <c r="I152" s="411"/>
      <c r="J152" s="411"/>
      <c r="K152" s="411"/>
      <c r="L152" s="411"/>
      <c r="M152" s="411"/>
      <c r="N152" s="412"/>
      <c r="O152" s="413"/>
      <c r="P152" s="414"/>
      <c r="Q152" s="415">
        <v>911043</v>
      </c>
      <c r="R152" s="414"/>
      <c r="S152" s="412"/>
    </row>
    <row r="153" spans="1:22" ht="21.75" customHeight="1" x14ac:dyDescent="0.4">
      <c r="A153" s="408"/>
      <c r="B153" s="409"/>
      <c r="C153" s="416" t="s">
        <v>995</v>
      </c>
      <c r="D153" s="411"/>
      <c r="E153" s="411"/>
      <c r="F153" s="411"/>
      <c r="G153" s="411"/>
      <c r="H153" s="411"/>
      <c r="I153" s="411"/>
      <c r="J153" s="411"/>
      <c r="K153" s="411"/>
      <c r="L153" s="411"/>
      <c r="M153" s="411"/>
      <c r="N153" s="412"/>
      <c r="O153" s="413"/>
      <c r="P153" s="414"/>
      <c r="Q153" s="1114" t="s">
        <v>1648</v>
      </c>
      <c r="R153" s="414"/>
      <c r="S153" s="412"/>
    </row>
    <row r="154" spans="1:22" ht="21.75" customHeight="1" x14ac:dyDescent="0.4">
      <c r="A154" s="408"/>
      <c r="B154" s="409"/>
      <c r="C154" s="416" t="s">
        <v>986</v>
      </c>
      <c r="D154" s="411"/>
      <c r="E154" s="411"/>
      <c r="F154" s="411"/>
      <c r="G154" s="411"/>
      <c r="H154" s="411"/>
      <c r="I154" s="411"/>
      <c r="J154" s="411"/>
      <c r="K154" s="411"/>
      <c r="L154" s="411"/>
      <c r="M154" s="411"/>
      <c r="N154" s="412"/>
      <c r="O154" s="413"/>
      <c r="P154" s="413"/>
      <c r="Q154" s="417" t="s">
        <v>564</v>
      </c>
      <c r="R154" s="413"/>
      <c r="S154" s="412"/>
    </row>
    <row r="155" spans="1:22" ht="21.75" customHeight="1" x14ac:dyDescent="0.4">
      <c r="A155" s="408"/>
      <c r="B155" s="409"/>
      <c r="C155" s="410" t="s">
        <v>987</v>
      </c>
      <c r="D155" s="411"/>
      <c r="E155" s="411"/>
      <c r="F155" s="418"/>
      <c r="G155" s="418"/>
      <c r="H155" s="418"/>
      <c r="I155" s="419"/>
      <c r="J155" s="419"/>
      <c r="K155" s="419"/>
      <c r="L155" s="419"/>
      <c r="M155" s="419"/>
      <c r="N155" s="420"/>
      <c r="O155" s="421"/>
      <c r="P155" s="421"/>
      <c r="Q155" s="417" t="s">
        <v>564</v>
      </c>
      <c r="R155" s="421"/>
      <c r="S155" s="420"/>
    </row>
    <row r="156" spans="1:22" ht="21.75" customHeight="1" x14ac:dyDescent="0.4">
      <c r="A156" s="408"/>
      <c r="B156" s="409"/>
      <c r="C156" s="416" t="s">
        <v>988</v>
      </c>
      <c r="D156" s="411"/>
      <c r="E156" s="411"/>
      <c r="F156" s="418"/>
      <c r="G156" s="418"/>
      <c r="H156" s="418"/>
      <c r="I156" s="419"/>
      <c r="J156" s="419"/>
      <c r="K156" s="419"/>
      <c r="L156" s="419"/>
      <c r="M156" s="419"/>
      <c r="N156" s="422"/>
      <c r="O156" s="417"/>
      <c r="P156" s="417"/>
      <c r="Q156" s="417" t="s">
        <v>564</v>
      </c>
      <c r="R156" s="417"/>
      <c r="S156" s="422"/>
      <c r="V156" s="368"/>
    </row>
    <row r="157" spans="1:22" ht="21.75" customHeight="1" x14ac:dyDescent="0.4">
      <c r="A157" s="408"/>
      <c r="B157" s="409"/>
      <c r="C157" s="416" t="s">
        <v>1594</v>
      </c>
      <c r="D157" s="411"/>
      <c r="E157" s="411"/>
      <c r="F157" s="418"/>
      <c r="G157" s="418"/>
      <c r="H157" s="418"/>
      <c r="I157" s="419"/>
      <c r="J157" s="419"/>
      <c r="K157" s="419"/>
      <c r="L157" s="419"/>
      <c r="M157" s="419"/>
      <c r="N157" s="422"/>
      <c r="O157" s="417"/>
      <c r="P157" s="417"/>
      <c r="Q157" s="417" t="s">
        <v>1649</v>
      </c>
      <c r="R157" s="417"/>
      <c r="S157" s="422"/>
      <c r="V157" s="368"/>
    </row>
    <row r="158" spans="1:22" ht="21.75" customHeight="1" x14ac:dyDescent="0.4">
      <c r="A158" s="408"/>
      <c r="B158" s="409"/>
      <c r="C158" s="416" t="s">
        <v>992</v>
      </c>
      <c r="D158" s="411"/>
      <c r="E158" s="411"/>
      <c r="F158" s="411"/>
      <c r="G158" s="411"/>
      <c r="H158" s="411"/>
      <c r="I158" s="411"/>
      <c r="J158" s="411"/>
      <c r="K158" s="411"/>
      <c r="L158" s="411"/>
      <c r="M158" s="411"/>
      <c r="N158" s="412"/>
      <c r="O158" s="413"/>
      <c r="P158" s="413"/>
      <c r="Q158" s="1114" t="s">
        <v>1648</v>
      </c>
      <c r="R158" s="413"/>
      <c r="S158" s="412"/>
    </row>
    <row r="159" spans="1:22" ht="21.75" customHeight="1" x14ac:dyDescent="0.4">
      <c r="A159" s="408"/>
      <c r="B159" s="409"/>
      <c r="C159" s="416" t="s">
        <v>1595</v>
      </c>
      <c r="D159" s="411"/>
      <c r="E159" s="411"/>
      <c r="F159" s="411"/>
      <c r="G159" s="411"/>
      <c r="H159" s="411"/>
      <c r="I159" s="411"/>
      <c r="J159" s="411"/>
      <c r="K159" s="411"/>
      <c r="L159" s="411"/>
      <c r="M159" s="411"/>
      <c r="N159" s="412"/>
      <c r="O159" s="413"/>
      <c r="P159" s="413"/>
      <c r="Q159" s="1114">
        <v>3212015</v>
      </c>
      <c r="R159" s="413"/>
      <c r="S159" s="412"/>
    </row>
    <row r="160" spans="1:22" ht="21.75" customHeight="1" x14ac:dyDescent="0.4">
      <c r="A160" s="408"/>
      <c r="B160" s="409"/>
      <c r="C160" s="416" t="s">
        <v>993</v>
      </c>
      <c r="D160" s="411"/>
      <c r="E160" s="411"/>
      <c r="F160" s="411"/>
      <c r="G160" s="411"/>
      <c r="H160" s="411"/>
      <c r="I160" s="411"/>
      <c r="J160" s="411"/>
      <c r="K160" s="411"/>
      <c r="L160" s="411"/>
      <c r="M160" s="411"/>
      <c r="N160" s="423"/>
      <c r="O160" s="414"/>
      <c r="P160" s="414"/>
      <c r="Q160" s="414" t="s">
        <v>1650</v>
      </c>
      <c r="R160" s="414"/>
      <c r="S160" s="423"/>
    </row>
    <row r="161" spans="1:22" ht="21.75" customHeight="1" x14ac:dyDescent="0.4">
      <c r="A161" s="408"/>
      <c r="B161" s="409"/>
      <c r="C161" s="416" t="s">
        <v>1596</v>
      </c>
      <c r="D161" s="411"/>
      <c r="E161" s="411"/>
      <c r="F161" s="411"/>
      <c r="G161" s="411"/>
      <c r="H161" s="411"/>
      <c r="I161" s="411"/>
      <c r="J161" s="411"/>
      <c r="K161" s="411"/>
      <c r="L161" s="411"/>
      <c r="M161" s="411"/>
      <c r="N161" s="423"/>
      <c r="O161" s="414"/>
      <c r="P161" s="414"/>
      <c r="Q161" s="414" t="s">
        <v>1650</v>
      </c>
      <c r="R161" s="414"/>
      <c r="S161" s="423"/>
    </row>
    <row r="162" spans="1:22" ht="21.75" customHeight="1" x14ac:dyDescent="0.4">
      <c r="A162" s="408">
        <v>2</v>
      </c>
      <c r="B162" s="409"/>
      <c r="C162" s="416" t="s">
        <v>845</v>
      </c>
      <c r="D162" s="411"/>
      <c r="E162" s="411"/>
      <c r="F162" s="411"/>
      <c r="G162" s="411"/>
      <c r="H162" s="411"/>
      <c r="I162" s="411"/>
      <c r="J162" s="411"/>
      <c r="K162" s="411"/>
      <c r="L162" s="411"/>
      <c r="M162" s="411"/>
      <c r="N162" s="412"/>
      <c r="O162" s="424"/>
      <c r="P162" s="424"/>
      <c r="Q162" s="425"/>
      <c r="R162" s="424"/>
      <c r="S162" s="426"/>
    </row>
    <row r="163" spans="1:22" ht="21.75" customHeight="1" x14ac:dyDescent="0.4">
      <c r="A163" s="408"/>
      <c r="B163" s="409"/>
      <c r="C163" s="416" t="s">
        <v>996</v>
      </c>
      <c r="D163" s="411"/>
      <c r="E163" s="411"/>
      <c r="F163" s="411"/>
      <c r="G163" s="411"/>
      <c r="H163" s="411"/>
      <c r="I163" s="411"/>
      <c r="J163" s="411"/>
      <c r="K163" s="411"/>
      <c r="L163" s="411"/>
      <c r="M163" s="411"/>
      <c r="N163" s="412"/>
      <c r="O163" s="413"/>
      <c r="P163" s="413"/>
      <c r="Q163" s="417" t="s">
        <v>564</v>
      </c>
      <c r="R163" s="413"/>
      <c r="S163" s="412"/>
    </row>
    <row r="164" spans="1:22" ht="21.75" customHeight="1" x14ac:dyDescent="0.4">
      <c r="A164" s="408"/>
      <c r="B164" s="409"/>
      <c r="C164" s="416" t="s">
        <v>1240</v>
      </c>
      <c r="D164" s="411"/>
      <c r="E164" s="411"/>
      <c r="F164" s="418"/>
      <c r="G164" s="418"/>
      <c r="H164" s="418"/>
      <c r="I164" s="419"/>
      <c r="J164" s="419"/>
      <c r="K164" s="419"/>
      <c r="L164" s="419"/>
      <c r="M164" s="419"/>
      <c r="N164" s="420"/>
      <c r="O164" s="421"/>
      <c r="P164" s="421"/>
      <c r="Q164" s="417" t="s">
        <v>564</v>
      </c>
      <c r="R164" s="421"/>
      <c r="S164" s="420"/>
    </row>
    <row r="165" spans="1:22" ht="21.75" customHeight="1" x14ac:dyDescent="0.4">
      <c r="A165" s="408"/>
      <c r="B165" s="409"/>
      <c r="C165" s="416" t="s">
        <v>1241</v>
      </c>
      <c r="D165" s="411"/>
      <c r="E165" s="411"/>
      <c r="F165" s="418"/>
      <c r="G165" s="418"/>
      <c r="H165" s="418"/>
      <c r="I165" s="419"/>
      <c r="J165" s="419"/>
      <c r="K165" s="419"/>
      <c r="L165" s="419"/>
      <c r="M165" s="419"/>
      <c r="N165" s="420"/>
      <c r="O165" s="421"/>
      <c r="P165" s="421"/>
      <c r="Q165" s="417" t="s">
        <v>564</v>
      </c>
      <c r="R165" s="421"/>
      <c r="S165" s="420"/>
    </row>
    <row r="166" spans="1:22" ht="21.75" customHeight="1" x14ac:dyDescent="0.4">
      <c r="A166" s="427"/>
      <c r="B166" s="428"/>
      <c r="C166" s="429" t="s">
        <v>844</v>
      </c>
      <c r="D166" s="430"/>
      <c r="E166" s="430"/>
      <c r="F166" s="431"/>
      <c r="G166" s="431"/>
      <c r="H166" s="431"/>
      <c r="I166" s="432"/>
      <c r="J166" s="432"/>
      <c r="K166" s="432"/>
      <c r="L166" s="432"/>
      <c r="M166" s="432"/>
      <c r="N166" s="433"/>
      <c r="O166" s="434"/>
      <c r="P166" s="434"/>
      <c r="Q166" s="434" t="s">
        <v>564</v>
      </c>
      <c r="R166" s="434"/>
      <c r="S166" s="433"/>
      <c r="V166" s="368"/>
    </row>
    <row r="167" spans="1:22" s="380" customFormat="1" ht="12.75" customHeight="1" x14ac:dyDescent="0.35">
      <c r="A167" s="435"/>
      <c r="B167" s="435"/>
      <c r="C167" s="436"/>
      <c r="D167" s="436"/>
      <c r="E167" s="436"/>
      <c r="F167" s="437"/>
      <c r="G167" s="437"/>
      <c r="H167" s="437"/>
      <c r="I167" s="438"/>
      <c r="J167" s="438"/>
      <c r="K167" s="438"/>
      <c r="L167" s="438"/>
      <c r="M167" s="438"/>
      <c r="N167" s="439"/>
      <c r="O167" s="439"/>
      <c r="P167" s="439"/>
      <c r="Q167" s="439"/>
      <c r="R167" s="439"/>
      <c r="S167" s="439"/>
      <c r="V167" s="440"/>
    </row>
    <row r="168" spans="1:22" s="380" customFormat="1" ht="21.75" customHeight="1" x14ac:dyDescent="0.4">
      <c r="A168" s="395"/>
      <c r="B168" s="365" t="s">
        <v>1221</v>
      </c>
    </row>
    <row r="169" spans="1:22" s="380" customFormat="1" ht="21.75" customHeight="1" x14ac:dyDescent="0.35">
      <c r="B169" s="440" t="s">
        <v>793</v>
      </c>
      <c r="D169" s="1505">
        <v>3212015</v>
      </c>
      <c r="E169" s="1505"/>
      <c r="F169" s="380" t="s">
        <v>792</v>
      </c>
      <c r="G169" s="380" t="s">
        <v>795</v>
      </c>
      <c r="J169" s="1506" t="s">
        <v>1648</v>
      </c>
      <c r="K169" s="1506"/>
      <c r="L169" s="1506"/>
      <c r="M169" s="380" t="s">
        <v>799</v>
      </c>
      <c r="N169" s="380" t="s">
        <v>797</v>
      </c>
      <c r="Q169" s="1506">
        <v>911001</v>
      </c>
      <c r="R169" s="1506"/>
      <c r="S169" s="380" t="s">
        <v>791</v>
      </c>
    </row>
    <row r="170" spans="1:22" s="380" customFormat="1" ht="21.75" customHeight="1" x14ac:dyDescent="0.35">
      <c r="B170" s="440" t="s">
        <v>794</v>
      </c>
      <c r="D170" s="1505">
        <v>921001</v>
      </c>
      <c r="E170" s="1505"/>
      <c r="F170" s="380" t="s">
        <v>792</v>
      </c>
      <c r="G170" s="380" t="s">
        <v>796</v>
      </c>
      <c r="J170" s="1506">
        <v>911043</v>
      </c>
      <c r="K170" s="1506"/>
      <c r="L170" s="1506"/>
      <c r="M170" s="380" t="s">
        <v>1018</v>
      </c>
      <c r="N170" s="380" t="s">
        <v>798</v>
      </c>
      <c r="Q170" s="441">
        <v>991044</v>
      </c>
      <c r="S170" s="380" t="s">
        <v>1018</v>
      </c>
    </row>
    <row r="171" spans="1:22" s="380" customFormat="1" ht="21.75" customHeight="1" x14ac:dyDescent="0.35">
      <c r="B171" s="440" t="s">
        <v>1019</v>
      </c>
      <c r="D171" s="380" t="s">
        <v>1651</v>
      </c>
      <c r="G171" s="440" t="s">
        <v>1136</v>
      </c>
      <c r="J171" s="442" t="s">
        <v>1650</v>
      </c>
      <c r="K171" s="440"/>
      <c r="L171" s="440"/>
      <c r="N171" s="380" t="s">
        <v>1466</v>
      </c>
    </row>
    <row r="172" spans="1:22" s="380" customFormat="1" ht="33.75" customHeight="1" x14ac:dyDescent="0.4">
      <c r="B172" s="365" t="s">
        <v>710</v>
      </c>
      <c r="C172" s="355"/>
    </row>
    <row r="173" spans="1:22" s="380" customFormat="1" ht="21.75" customHeight="1" x14ac:dyDescent="0.4">
      <c r="B173" s="362"/>
      <c r="C173" s="355" t="s">
        <v>800</v>
      </c>
    </row>
    <row r="174" spans="1:22" s="380" customFormat="1" ht="21.75" customHeight="1" x14ac:dyDescent="0.4">
      <c r="B174" s="362"/>
      <c r="C174" s="355" t="s">
        <v>801</v>
      </c>
    </row>
    <row r="175" spans="1:22" s="380" customFormat="1" ht="21.75" customHeight="1" x14ac:dyDescent="0.4">
      <c r="B175" s="362"/>
      <c r="C175" s="355" t="s">
        <v>1137</v>
      </c>
      <c r="N175" s="1504">
        <f>4+3+5+4+1+1+1+6</f>
        <v>25</v>
      </c>
      <c r="O175" s="1504"/>
      <c r="P175" s="380" t="s">
        <v>26</v>
      </c>
    </row>
    <row r="176" spans="1:22" s="380" customFormat="1" ht="21.75" customHeight="1" x14ac:dyDescent="0.4">
      <c r="B176" s="362"/>
      <c r="C176" s="355"/>
      <c r="N176" s="396"/>
      <c r="O176" s="396"/>
    </row>
    <row r="177" spans="1:20" s="380" customFormat="1" ht="21.75" customHeight="1" x14ac:dyDescent="0.4">
      <c r="B177" s="362"/>
      <c r="C177" s="355"/>
      <c r="N177" s="396"/>
      <c r="O177" s="396"/>
    </row>
    <row r="178" spans="1:20" s="380" customFormat="1" ht="21.75" customHeight="1" x14ac:dyDescent="0.4">
      <c r="B178" s="362"/>
      <c r="C178" s="355"/>
      <c r="N178" s="396"/>
      <c r="O178" s="396"/>
    </row>
    <row r="179" spans="1:20" s="380" customFormat="1" ht="21.75" customHeight="1" x14ac:dyDescent="0.4">
      <c r="B179" s="443"/>
      <c r="T179" s="355"/>
    </row>
    <row r="180" spans="1:20" ht="21.75" customHeight="1" x14ac:dyDescent="0.4">
      <c r="A180" s="444">
        <v>3</v>
      </c>
      <c r="B180" s="392" t="s">
        <v>175</v>
      </c>
      <c r="C180" s="393"/>
      <c r="D180" s="393"/>
      <c r="E180" s="393"/>
      <c r="F180" s="393"/>
      <c r="G180" s="393"/>
      <c r="H180" s="393"/>
      <c r="I180" s="393"/>
      <c r="J180" s="393"/>
      <c r="K180" s="393"/>
      <c r="L180" s="393"/>
      <c r="M180" s="393"/>
      <c r="N180" s="393"/>
      <c r="O180" s="393"/>
      <c r="P180" s="393"/>
      <c r="Q180" s="393"/>
      <c r="R180" s="394"/>
    </row>
    <row r="181" spans="1:20" ht="21.75" customHeight="1" x14ac:dyDescent="0.4">
      <c r="B181" s="445">
        <v>3.1</v>
      </c>
      <c r="C181" s="353" t="s">
        <v>1652</v>
      </c>
    </row>
    <row r="182" spans="1:20" ht="21.75" customHeight="1" x14ac:dyDescent="0.4">
      <c r="C182" s="355" t="s">
        <v>1597</v>
      </c>
    </row>
    <row r="183" spans="1:20" ht="21.75" customHeight="1" x14ac:dyDescent="0.4">
      <c r="C183" s="355" t="s">
        <v>802</v>
      </c>
    </row>
    <row r="184" spans="1:20" ht="21.75" customHeight="1" x14ac:dyDescent="0.4">
      <c r="C184" s="355" t="s">
        <v>1467</v>
      </c>
    </row>
    <row r="185" spans="1:20" ht="21.75" customHeight="1" x14ac:dyDescent="0.4">
      <c r="C185" s="355" t="s">
        <v>1468</v>
      </c>
    </row>
    <row r="186" spans="1:20" ht="21.75" customHeight="1" x14ac:dyDescent="0.4">
      <c r="C186" s="355" t="s">
        <v>1469</v>
      </c>
    </row>
    <row r="187" spans="1:20" ht="21.75" customHeight="1" x14ac:dyDescent="0.4">
      <c r="C187" s="355" t="s">
        <v>1470</v>
      </c>
    </row>
    <row r="188" spans="1:20" ht="21.75" customHeight="1" x14ac:dyDescent="0.4">
      <c r="C188" s="355" t="s">
        <v>1472</v>
      </c>
    </row>
    <row r="189" spans="1:20" ht="21.75" customHeight="1" x14ac:dyDescent="0.4">
      <c r="C189" s="355" t="s">
        <v>1471</v>
      </c>
    </row>
    <row r="190" spans="1:20" ht="21.75" customHeight="1" x14ac:dyDescent="0.4">
      <c r="C190" s="355" t="s">
        <v>803</v>
      </c>
    </row>
    <row r="191" spans="1:20" ht="21.75" customHeight="1" x14ac:dyDescent="0.4">
      <c r="C191" s="355" t="s">
        <v>1598</v>
      </c>
    </row>
    <row r="192" spans="1:20" ht="21.75" customHeight="1" x14ac:dyDescent="0.4">
      <c r="C192" s="355" t="s">
        <v>1599</v>
      </c>
    </row>
    <row r="193" spans="3:3" ht="21.75" customHeight="1" x14ac:dyDescent="0.4">
      <c r="C193" s="355" t="s">
        <v>804</v>
      </c>
    </row>
    <row r="194" spans="3:3" ht="21.75" customHeight="1" x14ac:dyDescent="0.4">
      <c r="C194" s="355" t="s">
        <v>27</v>
      </c>
    </row>
    <row r="195" spans="3:3" ht="21.75" customHeight="1" x14ac:dyDescent="0.4">
      <c r="C195" s="355" t="s">
        <v>28</v>
      </c>
    </row>
    <row r="196" spans="3:3" ht="21.75" customHeight="1" x14ac:dyDescent="0.4">
      <c r="C196" s="355" t="s">
        <v>1473</v>
      </c>
    </row>
    <row r="197" spans="3:3" ht="21.75" customHeight="1" x14ac:dyDescent="0.4">
      <c r="C197" s="355" t="s">
        <v>805</v>
      </c>
    </row>
    <row r="198" spans="3:3" ht="21.75" customHeight="1" x14ac:dyDescent="0.4">
      <c r="C198" s="355" t="s">
        <v>859</v>
      </c>
    </row>
    <row r="199" spans="3:3" ht="21.75" customHeight="1" x14ac:dyDescent="0.4">
      <c r="C199" s="355" t="s">
        <v>29</v>
      </c>
    </row>
    <row r="200" spans="3:3" ht="21.75" customHeight="1" x14ac:dyDescent="0.4">
      <c r="C200" s="355" t="s">
        <v>860</v>
      </c>
    </row>
    <row r="201" spans="3:3" ht="21.75" customHeight="1" x14ac:dyDescent="0.4">
      <c r="C201" s="355" t="s">
        <v>862</v>
      </c>
    </row>
    <row r="202" spans="3:3" ht="21.75" customHeight="1" x14ac:dyDescent="0.4">
      <c r="C202" s="355" t="s">
        <v>861</v>
      </c>
    </row>
    <row r="203" spans="3:3" ht="21.75" customHeight="1" x14ac:dyDescent="0.4">
      <c r="C203" s="355" t="s">
        <v>863</v>
      </c>
    </row>
    <row r="204" spans="3:3" ht="21.75" customHeight="1" x14ac:dyDescent="0.4">
      <c r="C204" s="355" t="s">
        <v>1478</v>
      </c>
    </row>
    <row r="205" spans="3:3" ht="21.75" customHeight="1" x14ac:dyDescent="0.4">
      <c r="C205" s="355" t="s">
        <v>1479</v>
      </c>
    </row>
    <row r="206" spans="3:3" ht="21.75" customHeight="1" x14ac:dyDescent="0.4">
      <c r="C206" s="355" t="s">
        <v>1477</v>
      </c>
    </row>
    <row r="207" spans="3:3" ht="21.75" customHeight="1" x14ac:dyDescent="0.4">
      <c r="C207" s="355" t="s">
        <v>1476</v>
      </c>
    </row>
    <row r="208" spans="3:3" ht="21.75" customHeight="1" x14ac:dyDescent="0.4">
      <c r="C208" s="355" t="s">
        <v>1475</v>
      </c>
    </row>
    <row r="209" spans="2:3" ht="21.75" customHeight="1" x14ac:dyDescent="0.4">
      <c r="C209" s="355" t="s">
        <v>1474</v>
      </c>
    </row>
    <row r="210" spans="2:3" ht="30" customHeight="1" x14ac:dyDescent="0.4">
      <c r="B210" s="468" t="s">
        <v>761</v>
      </c>
    </row>
    <row r="211" spans="2:3" ht="21.75" customHeight="1" x14ac:dyDescent="0.4">
      <c r="B211" s="368"/>
      <c r="C211" s="355" t="s">
        <v>864</v>
      </c>
    </row>
    <row r="212" spans="2:3" ht="21.75" customHeight="1" x14ac:dyDescent="0.4">
      <c r="B212" s="368"/>
      <c r="C212" s="355" t="s">
        <v>161</v>
      </c>
    </row>
    <row r="213" spans="2:3" ht="21.75" customHeight="1" x14ac:dyDescent="0.4">
      <c r="B213" s="368"/>
      <c r="C213" s="355" t="s">
        <v>162</v>
      </c>
    </row>
    <row r="214" spans="2:3" ht="21.75" customHeight="1" x14ac:dyDescent="0.4">
      <c r="B214" s="368"/>
    </row>
    <row r="215" spans="2:3" ht="21.75" customHeight="1" x14ac:dyDescent="0.4">
      <c r="B215" s="368"/>
      <c r="C215" s="355" t="s">
        <v>865</v>
      </c>
    </row>
    <row r="216" spans="2:3" ht="21.75" customHeight="1" x14ac:dyDescent="0.4">
      <c r="B216" s="368"/>
      <c r="C216" s="355" t="s">
        <v>163</v>
      </c>
    </row>
    <row r="217" spans="2:3" ht="21.75" customHeight="1" x14ac:dyDescent="0.4">
      <c r="B217" s="368"/>
      <c r="C217" s="355" t="s">
        <v>164</v>
      </c>
    </row>
    <row r="218" spans="2:3" ht="21.75" customHeight="1" x14ac:dyDescent="0.4">
      <c r="B218" s="368"/>
      <c r="C218" s="355" t="s">
        <v>866</v>
      </c>
    </row>
    <row r="219" spans="2:3" ht="21.75" customHeight="1" x14ac:dyDescent="0.4">
      <c r="B219" s="368"/>
      <c r="C219" s="355" t="s">
        <v>867</v>
      </c>
    </row>
    <row r="220" spans="2:3" ht="21.75" customHeight="1" x14ac:dyDescent="0.4">
      <c r="B220" s="368"/>
      <c r="C220" s="355" t="s">
        <v>686</v>
      </c>
    </row>
    <row r="221" spans="2:3" ht="21.75" customHeight="1" x14ac:dyDescent="0.4">
      <c r="B221" s="368"/>
      <c r="C221" s="355" t="s">
        <v>687</v>
      </c>
    </row>
    <row r="222" spans="2:3" ht="21.75" customHeight="1" x14ac:dyDescent="0.4">
      <c r="B222" s="368"/>
      <c r="C222" s="355" t="s">
        <v>688</v>
      </c>
    </row>
    <row r="223" spans="2:3" ht="21.75" customHeight="1" x14ac:dyDescent="0.4">
      <c r="B223" s="368"/>
      <c r="C223" s="355" t="s">
        <v>689</v>
      </c>
    </row>
    <row r="224" spans="2:3" ht="21.75" customHeight="1" x14ac:dyDescent="0.4">
      <c r="B224" s="368"/>
      <c r="C224" s="355" t="s">
        <v>690</v>
      </c>
    </row>
    <row r="225" spans="1:6" ht="21.75" customHeight="1" x14ac:dyDescent="0.4">
      <c r="B225" s="368"/>
      <c r="C225" s="355" t="s">
        <v>691</v>
      </c>
    </row>
    <row r="226" spans="1:6" ht="21.75" customHeight="1" x14ac:dyDescent="0.4">
      <c r="B226" s="368"/>
      <c r="C226" s="355" t="str">
        <f>J171</f>
        <v>อบต.ตะกุกใต้</v>
      </c>
      <c r="F226" s="355" t="s">
        <v>1653</v>
      </c>
    </row>
    <row r="227" spans="1:6" ht="21.75" customHeight="1" x14ac:dyDescent="0.4">
      <c r="C227" s="355" t="s">
        <v>868</v>
      </c>
    </row>
    <row r="228" spans="1:6" ht="21.75" customHeight="1" x14ac:dyDescent="0.4">
      <c r="C228" s="355" t="s">
        <v>692</v>
      </c>
    </row>
    <row r="229" spans="1:6" ht="21.75" customHeight="1" x14ac:dyDescent="0.4">
      <c r="B229" s="368"/>
      <c r="C229" s="355" t="s">
        <v>869</v>
      </c>
    </row>
    <row r="230" spans="1:6" ht="21.75" customHeight="1" x14ac:dyDescent="0.4">
      <c r="B230" s="368"/>
      <c r="C230" s="355" t="s">
        <v>870</v>
      </c>
    </row>
    <row r="231" spans="1:6" ht="21.75" customHeight="1" x14ac:dyDescent="0.4">
      <c r="B231" s="368"/>
      <c r="C231" s="355" t="s">
        <v>871</v>
      </c>
    </row>
    <row r="232" spans="1:6" ht="21.75" customHeight="1" x14ac:dyDescent="0.4">
      <c r="B232" s="368"/>
      <c r="C232" s="355" t="s">
        <v>693</v>
      </c>
    </row>
    <row r="233" spans="1:6" ht="21.75" customHeight="1" x14ac:dyDescent="0.4">
      <c r="B233" s="368"/>
      <c r="C233" s="355" t="s">
        <v>365</v>
      </c>
    </row>
    <row r="234" spans="1:6" ht="21.75" customHeight="1" x14ac:dyDescent="0.4">
      <c r="B234" s="368"/>
      <c r="C234" s="355" t="s">
        <v>872</v>
      </c>
    </row>
    <row r="235" spans="1:6" ht="21.75" customHeight="1" x14ac:dyDescent="0.4">
      <c r="B235" s="368"/>
      <c r="C235" s="355" t="s">
        <v>694</v>
      </c>
    </row>
    <row r="236" spans="1:6" ht="21.75" customHeight="1" x14ac:dyDescent="0.4">
      <c r="B236" s="368"/>
      <c r="C236" s="355" t="s">
        <v>873</v>
      </c>
    </row>
    <row r="237" spans="1:6" ht="21.75" customHeight="1" x14ac:dyDescent="0.4">
      <c r="B237" s="368"/>
      <c r="C237" s="355" t="s">
        <v>874</v>
      </c>
    </row>
    <row r="238" spans="1:6" ht="21.75" customHeight="1" x14ac:dyDescent="0.4">
      <c r="B238" s="368"/>
      <c r="C238" s="355" t="s">
        <v>695</v>
      </c>
    </row>
    <row r="239" spans="1:6" ht="21.75" customHeight="1" x14ac:dyDescent="0.4">
      <c r="B239" s="445">
        <v>3.2</v>
      </c>
      <c r="C239" s="353" t="s">
        <v>875</v>
      </c>
    </row>
    <row r="240" spans="1:6" ht="21.75" customHeight="1" x14ac:dyDescent="0.4">
      <c r="A240" s="355"/>
      <c r="C240" s="353" t="s">
        <v>1222</v>
      </c>
    </row>
    <row r="241" spans="1:8" ht="21.75" customHeight="1" x14ac:dyDescent="0.4">
      <c r="A241" s="355"/>
      <c r="B241" s="362"/>
      <c r="C241" s="355" t="s">
        <v>711</v>
      </c>
      <c r="D241" s="355" t="str">
        <f>Q161</f>
        <v>อบต.ตะกุกใต้</v>
      </c>
      <c r="H241" s="355" t="s">
        <v>1480</v>
      </c>
    </row>
    <row r="242" spans="1:8" ht="21.75" customHeight="1" x14ac:dyDescent="0.4">
      <c r="A242" s="355"/>
      <c r="B242" s="362"/>
      <c r="C242" s="355" t="s">
        <v>1634</v>
      </c>
    </row>
    <row r="243" spans="1:8" ht="21.75" customHeight="1" x14ac:dyDescent="0.4">
      <c r="A243" s="355"/>
      <c r="B243" s="362"/>
      <c r="C243" s="355" t="s">
        <v>1635</v>
      </c>
    </row>
    <row r="244" spans="1:8" ht="21.75" customHeight="1" x14ac:dyDescent="0.4">
      <c r="A244" s="355"/>
      <c r="B244" s="362"/>
      <c r="C244" s="355" t="s">
        <v>1636</v>
      </c>
    </row>
    <row r="245" spans="1:8" ht="21.75" customHeight="1" x14ac:dyDescent="0.4">
      <c r="A245" s="355"/>
      <c r="B245" s="362"/>
      <c r="C245" s="355" t="s">
        <v>1637</v>
      </c>
    </row>
    <row r="246" spans="1:8" ht="21.75" customHeight="1" x14ac:dyDescent="0.4">
      <c r="A246" s="355"/>
      <c r="B246" s="362"/>
      <c r="C246" s="355" t="s">
        <v>1638</v>
      </c>
    </row>
    <row r="247" spans="1:8" ht="21.75" customHeight="1" x14ac:dyDescent="0.4">
      <c r="A247" s="355"/>
      <c r="B247" s="362"/>
      <c r="C247" s="355" t="s">
        <v>1639</v>
      </c>
    </row>
    <row r="248" spans="1:8" ht="21.75" customHeight="1" x14ac:dyDescent="0.4">
      <c r="A248" s="355"/>
      <c r="B248" s="362"/>
      <c r="C248" s="355" t="s">
        <v>1014</v>
      </c>
    </row>
    <row r="249" spans="1:8" ht="21.75" customHeight="1" x14ac:dyDescent="0.4">
      <c r="A249" s="355"/>
      <c r="B249" s="362"/>
      <c r="D249" s="355" t="s">
        <v>1016</v>
      </c>
    </row>
    <row r="250" spans="1:8" ht="21.75" customHeight="1" x14ac:dyDescent="0.4">
      <c r="A250" s="355"/>
      <c r="B250" s="362"/>
      <c r="D250" s="355" t="s">
        <v>1015</v>
      </c>
    </row>
    <row r="251" spans="1:8" ht="21.75" customHeight="1" x14ac:dyDescent="0.4">
      <c r="A251" s="355"/>
      <c r="B251" s="362"/>
    </row>
    <row r="252" spans="1:8" ht="21.75" customHeight="1" x14ac:dyDescent="0.4">
      <c r="A252" s="355"/>
      <c r="B252" s="362"/>
      <c r="C252" s="355" t="s">
        <v>1013</v>
      </c>
    </row>
    <row r="253" spans="1:8" ht="21.75" customHeight="1" x14ac:dyDescent="0.4">
      <c r="A253" s="355"/>
      <c r="B253" s="362"/>
      <c r="D253" s="355">
        <v>1</v>
      </c>
      <c r="E253" s="355" t="s">
        <v>1011</v>
      </c>
    </row>
    <row r="254" spans="1:8" ht="21.75" customHeight="1" x14ac:dyDescent="0.4">
      <c r="A254" s="355"/>
      <c r="B254" s="362"/>
      <c r="D254" s="355">
        <v>2</v>
      </c>
      <c r="E254" s="355" t="s">
        <v>75</v>
      </c>
    </row>
    <row r="255" spans="1:8" ht="21.75" customHeight="1" x14ac:dyDescent="0.4">
      <c r="A255" s="355"/>
      <c r="B255" s="362"/>
      <c r="E255" s="355" t="s">
        <v>76</v>
      </c>
    </row>
    <row r="256" spans="1:8" ht="21.75" customHeight="1" x14ac:dyDescent="0.4">
      <c r="A256" s="355"/>
      <c r="B256" s="362"/>
      <c r="E256" s="355" t="s">
        <v>1012</v>
      </c>
    </row>
    <row r="257" spans="1:5" ht="21.75" customHeight="1" x14ac:dyDescent="0.4">
      <c r="A257" s="355"/>
      <c r="B257" s="362"/>
      <c r="E257" s="355" t="s">
        <v>77</v>
      </c>
    </row>
    <row r="258" spans="1:5" ht="21.75" customHeight="1" x14ac:dyDescent="0.4">
      <c r="A258" s="355"/>
      <c r="B258" s="362"/>
      <c r="E258" s="355" t="s">
        <v>78</v>
      </c>
    </row>
    <row r="259" spans="1:5" ht="21.75" customHeight="1" x14ac:dyDescent="0.4">
      <c r="A259" s="355"/>
      <c r="B259" s="362"/>
      <c r="D259" s="355">
        <v>3</v>
      </c>
      <c r="E259" s="355" t="s">
        <v>79</v>
      </c>
    </row>
    <row r="260" spans="1:5" ht="21.75" customHeight="1" x14ac:dyDescent="0.4">
      <c r="A260" s="355"/>
      <c r="B260" s="362"/>
      <c r="E260" s="355" t="s">
        <v>80</v>
      </c>
    </row>
    <row r="261" spans="1:5" ht="21.75" customHeight="1" x14ac:dyDescent="0.4">
      <c r="A261" s="355"/>
      <c r="B261" s="362"/>
      <c r="D261" s="385" t="s">
        <v>418</v>
      </c>
      <c r="E261" s="355" t="s">
        <v>1009</v>
      </c>
    </row>
    <row r="262" spans="1:5" ht="21.75" customHeight="1" x14ac:dyDescent="0.4">
      <c r="A262" s="355"/>
      <c r="B262" s="362"/>
      <c r="D262" s="385" t="s">
        <v>418</v>
      </c>
      <c r="E262" s="355" t="s">
        <v>1010</v>
      </c>
    </row>
    <row r="263" spans="1:5" ht="21.75" customHeight="1" x14ac:dyDescent="0.4">
      <c r="A263" s="355"/>
      <c r="B263" s="362"/>
      <c r="E263" s="355" t="s">
        <v>81</v>
      </c>
    </row>
    <row r="264" spans="1:5" ht="21.75" customHeight="1" x14ac:dyDescent="0.4">
      <c r="A264" s="355"/>
      <c r="B264" s="362"/>
      <c r="D264" s="355">
        <v>4</v>
      </c>
      <c r="E264" s="355" t="s">
        <v>82</v>
      </c>
    </row>
    <row r="265" spans="1:5" ht="21.75" customHeight="1" x14ac:dyDescent="0.4">
      <c r="A265" s="355"/>
      <c r="B265" s="362"/>
      <c r="E265" s="355" t="s">
        <v>1008</v>
      </c>
    </row>
    <row r="266" spans="1:5" ht="21.75" customHeight="1" x14ac:dyDescent="0.4">
      <c r="A266" s="355"/>
      <c r="B266" s="362"/>
      <c r="E266" s="355" t="s">
        <v>1006</v>
      </c>
    </row>
    <row r="267" spans="1:5" ht="21.75" customHeight="1" x14ac:dyDescent="0.4">
      <c r="A267" s="355"/>
      <c r="B267" s="362"/>
      <c r="E267" s="355" t="s">
        <v>538</v>
      </c>
    </row>
    <row r="268" spans="1:5" ht="21.75" customHeight="1" x14ac:dyDescent="0.4">
      <c r="A268" s="355"/>
      <c r="B268" s="362"/>
      <c r="E268" s="355" t="s">
        <v>1007</v>
      </c>
    </row>
    <row r="269" spans="1:5" ht="21.75" customHeight="1" x14ac:dyDescent="0.4">
      <c r="A269" s="355"/>
      <c r="B269" s="362"/>
      <c r="E269" s="355" t="s">
        <v>539</v>
      </c>
    </row>
    <row r="270" spans="1:5" ht="21.75" customHeight="1" x14ac:dyDescent="0.4">
      <c r="A270" s="355"/>
      <c r="B270" s="362"/>
      <c r="D270" s="355">
        <v>5</v>
      </c>
      <c r="E270" s="355" t="s">
        <v>1004</v>
      </c>
    </row>
    <row r="271" spans="1:5" ht="21.75" customHeight="1" x14ac:dyDescent="0.4">
      <c r="A271" s="355"/>
      <c r="B271" s="362"/>
      <c r="E271" s="355" t="s">
        <v>1005</v>
      </c>
    </row>
    <row r="272" spans="1:5" ht="21.75" customHeight="1" x14ac:dyDescent="0.4">
      <c r="A272" s="355"/>
      <c r="B272" s="362"/>
      <c r="E272" s="355" t="s">
        <v>1003</v>
      </c>
    </row>
    <row r="273" spans="1:5" ht="21.75" customHeight="1" x14ac:dyDescent="0.4">
      <c r="A273" s="355"/>
      <c r="B273" s="362"/>
      <c r="C273" s="355" t="s">
        <v>1001</v>
      </c>
    </row>
    <row r="274" spans="1:5" ht="21.75" customHeight="1" x14ac:dyDescent="0.4">
      <c r="A274" s="355"/>
      <c r="B274" s="362"/>
      <c r="D274" s="355" t="s">
        <v>1002</v>
      </c>
    </row>
    <row r="275" spans="1:5" ht="21.75" customHeight="1" x14ac:dyDescent="0.4">
      <c r="A275" s="355"/>
      <c r="B275" s="362"/>
      <c r="D275" s="355">
        <v>1</v>
      </c>
      <c r="E275" s="355" t="s">
        <v>540</v>
      </c>
    </row>
    <row r="276" spans="1:5" ht="21.75" customHeight="1" x14ac:dyDescent="0.4">
      <c r="A276" s="355"/>
      <c r="B276" s="362"/>
      <c r="D276" s="355">
        <v>2</v>
      </c>
      <c r="E276" s="355" t="s">
        <v>541</v>
      </c>
    </row>
    <row r="277" spans="1:5" ht="21.75" customHeight="1" x14ac:dyDescent="0.4">
      <c r="A277" s="355"/>
      <c r="B277" s="362"/>
      <c r="D277" s="355">
        <v>3</v>
      </c>
      <c r="E277" s="355" t="s">
        <v>55</v>
      </c>
    </row>
    <row r="278" spans="1:5" ht="21.75" customHeight="1" x14ac:dyDescent="0.4">
      <c r="A278" s="355"/>
      <c r="B278" s="362"/>
      <c r="D278" s="355">
        <v>4</v>
      </c>
      <c r="E278" s="355" t="s">
        <v>56</v>
      </c>
    </row>
    <row r="279" spans="1:5" ht="21.75" customHeight="1" x14ac:dyDescent="0.4">
      <c r="A279" s="355"/>
      <c r="B279" s="362"/>
      <c r="D279" s="355">
        <v>5</v>
      </c>
      <c r="E279" s="355" t="s">
        <v>1000</v>
      </c>
    </row>
    <row r="280" spans="1:5" ht="21.75" customHeight="1" x14ac:dyDescent="0.4">
      <c r="A280" s="355"/>
      <c r="B280" s="362"/>
      <c r="E280" s="355" t="s">
        <v>715</v>
      </c>
    </row>
    <row r="281" spans="1:5" ht="21.75" customHeight="1" x14ac:dyDescent="0.4">
      <c r="A281" s="355"/>
      <c r="B281" s="362"/>
      <c r="E281" s="355" t="s">
        <v>716</v>
      </c>
    </row>
    <row r="282" spans="1:5" ht="21.75" customHeight="1" x14ac:dyDescent="0.4">
      <c r="A282" s="355"/>
      <c r="B282" s="362"/>
      <c r="E282" s="355" t="s">
        <v>999</v>
      </c>
    </row>
    <row r="283" spans="1:5" ht="21.75" customHeight="1" x14ac:dyDescent="0.4">
      <c r="A283" s="355"/>
      <c r="B283" s="362"/>
      <c r="E283" s="355" t="s">
        <v>699</v>
      </c>
    </row>
    <row r="284" spans="1:5" ht="21.75" customHeight="1" x14ac:dyDescent="0.4">
      <c r="A284" s="355"/>
      <c r="B284" s="362"/>
      <c r="E284" s="355" t="s">
        <v>700</v>
      </c>
    </row>
    <row r="285" spans="1:5" ht="21.75" customHeight="1" x14ac:dyDescent="0.4">
      <c r="A285" s="355"/>
      <c r="B285" s="362"/>
      <c r="D285" s="355">
        <v>6</v>
      </c>
      <c r="E285" s="355" t="s">
        <v>701</v>
      </c>
    </row>
    <row r="286" spans="1:5" ht="21.75" customHeight="1" x14ac:dyDescent="0.4">
      <c r="A286" s="355"/>
      <c r="B286" s="362"/>
      <c r="D286" s="355">
        <v>7</v>
      </c>
      <c r="E286" s="355" t="s">
        <v>702</v>
      </c>
    </row>
    <row r="287" spans="1:5" ht="21.75" customHeight="1" x14ac:dyDescent="0.4">
      <c r="A287" s="355"/>
      <c r="B287" s="362"/>
      <c r="D287" s="355" t="s">
        <v>20</v>
      </c>
    </row>
    <row r="288" spans="1:5" ht="21.75" customHeight="1" x14ac:dyDescent="0.4">
      <c r="A288" s="355"/>
      <c r="B288" s="362"/>
      <c r="D288" s="355" t="s">
        <v>21</v>
      </c>
    </row>
    <row r="289" spans="1:18" ht="21.75" customHeight="1" x14ac:dyDescent="0.4">
      <c r="A289" s="355"/>
      <c r="B289" s="362"/>
      <c r="C289" s="355" t="s">
        <v>997</v>
      </c>
    </row>
    <row r="290" spans="1:18" ht="21.75" customHeight="1" x14ac:dyDescent="0.4">
      <c r="A290" s="355"/>
      <c r="B290" s="362"/>
      <c r="D290" s="355" t="s">
        <v>1600</v>
      </c>
      <c r="K290" s="355" t="s">
        <v>998</v>
      </c>
    </row>
    <row r="291" spans="1:18" ht="21.75" customHeight="1" x14ac:dyDescent="0.4">
      <c r="A291" s="355"/>
      <c r="B291" s="362"/>
      <c r="D291" s="385" t="s">
        <v>1126</v>
      </c>
      <c r="E291" s="355" t="s">
        <v>1223</v>
      </c>
    </row>
    <row r="292" spans="1:18" ht="21.75" customHeight="1" x14ac:dyDescent="0.4">
      <c r="A292" s="355"/>
      <c r="B292" s="362"/>
      <c r="D292" s="355" t="s">
        <v>1224</v>
      </c>
    </row>
    <row r="293" spans="1:18" ht="21.75" customHeight="1" x14ac:dyDescent="0.4">
      <c r="A293" s="355"/>
      <c r="B293" s="362"/>
      <c r="D293" s="355" t="s">
        <v>1121</v>
      </c>
    </row>
    <row r="294" spans="1:18" ht="21.75" customHeight="1" x14ac:dyDescent="0.4">
      <c r="A294" s="355"/>
      <c r="B294" s="362"/>
      <c r="D294" s="355" t="str">
        <f>D290</f>
        <v xml:space="preserve">หอถังสูงเหล็ก ขนาด ๑๕ ลบ.ม. </v>
      </c>
      <c r="K294" s="355" t="s">
        <v>120</v>
      </c>
      <c r="M294" s="1508">
        <f>Q159</f>
        <v>3212015</v>
      </c>
      <c r="N294" s="1508"/>
      <c r="O294" s="355" t="s">
        <v>381</v>
      </c>
      <c r="Q294" s="354">
        <f>'ปร.5-2'!F16</f>
        <v>50762.04</v>
      </c>
      <c r="R294" s="355" t="s">
        <v>751</v>
      </c>
    </row>
    <row r="295" spans="1:18" ht="21.75" customHeight="1" x14ac:dyDescent="0.4">
      <c r="A295" s="355"/>
      <c r="B295" s="355"/>
      <c r="C295" s="355" t="s">
        <v>1118</v>
      </c>
      <c r="Q295" s="385"/>
    </row>
    <row r="296" spans="1:18" ht="21.75" customHeight="1" x14ac:dyDescent="0.4">
      <c r="A296" s="355"/>
      <c r="B296" s="355"/>
      <c r="C296" s="355" t="s">
        <v>1119</v>
      </c>
      <c r="Q296" s="385"/>
    </row>
    <row r="297" spans="1:18" ht="21.75" customHeight="1" x14ac:dyDescent="0.4">
      <c r="A297" s="355"/>
      <c r="B297" s="355"/>
      <c r="C297" s="355" t="s">
        <v>1120</v>
      </c>
      <c r="Q297" s="385"/>
    </row>
    <row r="298" spans="1:18" ht="21.75" customHeight="1" x14ac:dyDescent="0.4">
      <c r="A298" s="355"/>
      <c r="B298" s="362"/>
      <c r="D298" s="385" t="s">
        <v>1127</v>
      </c>
      <c r="E298" s="355" t="s">
        <v>1225</v>
      </c>
    </row>
    <row r="299" spans="1:18" ht="21.75" customHeight="1" x14ac:dyDescent="0.4">
      <c r="A299" s="355"/>
      <c r="B299" s="362"/>
      <c r="D299" s="355" t="s">
        <v>1226</v>
      </c>
    </row>
    <row r="300" spans="1:18" ht="21.75" customHeight="1" x14ac:dyDescent="0.4">
      <c r="A300" s="355"/>
      <c r="B300" s="362"/>
      <c r="E300" s="355" t="s">
        <v>1128</v>
      </c>
    </row>
    <row r="301" spans="1:18" ht="21.75" customHeight="1" x14ac:dyDescent="0.4">
      <c r="A301" s="355"/>
      <c r="B301" s="362"/>
      <c r="D301" s="355" t="s">
        <v>1129</v>
      </c>
    </row>
    <row r="302" spans="1:18" ht="21.75" customHeight="1" x14ac:dyDescent="0.4">
      <c r="A302" s="355"/>
      <c r="B302" s="362"/>
      <c r="E302" s="385" t="s">
        <v>418</v>
      </c>
      <c r="F302" s="355" t="s">
        <v>1227</v>
      </c>
    </row>
    <row r="303" spans="1:18" ht="21.75" customHeight="1" x14ac:dyDescent="0.4">
      <c r="A303" s="355"/>
      <c r="B303" s="362"/>
      <c r="E303" s="355" t="s">
        <v>1124</v>
      </c>
    </row>
    <row r="304" spans="1:18" ht="21.75" customHeight="1" x14ac:dyDescent="0.4">
      <c r="A304" s="355"/>
      <c r="B304" s="362"/>
      <c r="E304" s="385" t="s">
        <v>418</v>
      </c>
      <c r="F304" s="355" t="s">
        <v>1228</v>
      </c>
    </row>
    <row r="305" spans="1:15" ht="21.75" customHeight="1" x14ac:dyDescent="0.4">
      <c r="A305" s="355"/>
      <c r="B305" s="362"/>
      <c r="E305" s="355" t="s">
        <v>1125</v>
      </c>
    </row>
    <row r="306" spans="1:15" ht="21.75" customHeight="1" x14ac:dyDescent="0.4">
      <c r="A306" s="355"/>
      <c r="B306" s="362"/>
      <c r="E306" s="355" t="s">
        <v>1122</v>
      </c>
      <c r="M306" s="1501">
        <f>'ปร.5-2'!G21</f>
        <v>392.49</v>
      </c>
      <c r="N306" s="1501"/>
      <c r="O306" s="355" t="s">
        <v>1123</v>
      </c>
    </row>
    <row r="307" spans="1:15" ht="21.75" customHeight="1" x14ac:dyDescent="0.4">
      <c r="A307" s="355"/>
      <c r="B307" s="362"/>
      <c r="E307" s="355" t="s">
        <v>1601</v>
      </c>
    </row>
    <row r="308" spans="1:15" ht="21.75" customHeight="1" x14ac:dyDescent="0.4">
      <c r="A308" s="355"/>
      <c r="B308" s="362"/>
      <c r="D308" s="385" t="s">
        <v>1133</v>
      </c>
      <c r="E308" s="355" t="s">
        <v>1229</v>
      </c>
    </row>
    <row r="309" spans="1:15" ht="21.75" customHeight="1" x14ac:dyDescent="0.4">
      <c r="A309" s="355"/>
      <c r="B309" s="362"/>
      <c r="D309" s="355" t="s">
        <v>1130</v>
      </c>
    </row>
    <row r="310" spans="1:15" ht="21.75" customHeight="1" x14ac:dyDescent="0.4">
      <c r="A310" s="355"/>
      <c r="B310" s="362"/>
      <c r="D310" s="355" t="s">
        <v>1131</v>
      </c>
    </row>
    <row r="311" spans="1:15" ht="21.75" customHeight="1" x14ac:dyDescent="0.4">
      <c r="A311" s="355"/>
      <c r="B311" s="362"/>
      <c r="D311" s="355" t="s">
        <v>1132</v>
      </c>
    </row>
    <row r="312" spans="1:15" ht="21.75" customHeight="1" x14ac:dyDescent="0.4">
      <c r="A312" s="355"/>
      <c r="B312" s="362"/>
      <c r="D312" s="355" t="s">
        <v>1230</v>
      </c>
    </row>
    <row r="313" spans="1:15" ht="21.75" customHeight="1" x14ac:dyDescent="0.4">
      <c r="A313" s="355"/>
      <c r="B313" s="362"/>
      <c r="D313" s="446" t="s">
        <v>1231</v>
      </c>
    </row>
    <row r="314" spans="1:15" ht="21.75" customHeight="1" x14ac:dyDescent="0.4">
      <c r="A314" s="355"/>
      <c r="B314" s="362"/>
      <c r="E314" s="446"/>
    </row>
    <row r="315" spans="1:15" ht="21.75" customHeight="1" x14ac:dyDescent="0.4">
      <c r="A315" s="355"/>
      <c r="B315" s="369">
        <v>3.3</v>
      </c>
      <c r="C315" s="353" t="s">
        <v>1232</v>
      </c>
    </row>
    <row r="316" spans="1:15" ht="21.75" customHeight="1" x14ac:dyDescent="0.4">
      <c r="A316" s="355"/>
      <c r="B316" s="355"/>
      <c r="C316" s="368" t="s">
        <v>876</v>
      </c>
    </row>
    <row r="317" spans="1:15" ht="21.75" customHeight="1" x14ac:dyDescent="0.4">
      <c r="A317" s="355"/>
      <c r="B317" s="362"/>
      <c r="C317" s="355" t="s">
        <v>877</v>
      </c>
    </row>
    <row r="318" spans="1:15" ht="21.75" customHeight="1" x14ac:dyDescent="0.4">
      <c r="A318" s="355"/>
      <c r="B318" s="355"/>
      <c r="D318" s="368" t="s">
        <v>185</v>
      </c>
    </row>
    <row r="319" spans="1:15" ht="21.75" customHeight="1" x14ac:dyDescent="0.4">
      <c r="A319" s="355"/>
      <c r="B319" s="362"/>
      <c r="D319" s="368" t="s">
        <v>878</v>
      </c>
    </row>
    <row r="320" spans="1:15" ht="21.75" customHeight="1" x14ac:dyDescent="0.4">
      <c r="A320" s="355"/>
      <c r="B320" s="355"/>
      <c r="D320" s="385"/>
      <c r="E320" s="355" t="s">
        <v>696</v>
      </c>
    </row>
    <row r="321" spans="1:7" ht="21.75" customHeight="1" x14ac:dyDescent="0.4">
      <c r="A321" s="355"/>
      <c r="B321" s="368"/>
      <c r="D321" s="385"/>
      <c r="E321" s="368" t="s">
        <v>697</v>
      </c>
    </row>
    <row r="322" spans="1:7" ht="21.75" customHeight="1" x14ac:dyDescent="0.4">
      <c r="A322" s="355"/>
      <c r="B322" s="368"/>
      <c r="D322" s="385"/>
      <c r="E322" s="368"/>
    </row>
    <row r="323" spans="1:7" ht="21.75" customHeight="1" x14ac:dyDescent="0.4">
      <c r="A323" s="355"/>
      <c r="B323" s="368"/>
      <c r="D323" s="385"/>
      <c r="E323" s="368"/>
    </row>
    <row r="324" spans="1:7" ht="21.75" customHeight="1" x14ac:dyDescent="0.4">
      <c r="A324" s="355"/>
      <c r="B324" s="368"/>
      <c r="D324" s="368" t="s">
        <v>879</v>
      </c>
    </row>
    <row r="325" spans="1:7" ht="21.75" customHeight="1" x14ac:dyDescent="0.4">
      <c r="A325" s="355"/>
      <c r="B325" s="368"/>
      <c r="D325" s="385"/>
      <c r="E325" s="355" t="s">
        <v>880</v>
      </c>
    </row>
    <row r="326" spans="1:7" ht="21.75" customHeight="1" x14ac:dyDescent="0.4">
      <c r="A326" s="355"/>
      <c r="B326" s="368"/>
      <c r="D326" s="385"/>
      <c r="E326" s="355" t="s">
        <v>881</v>
      </c>
    </row>
    <row r="327" spans="1:7" ht="21.75" customHeight="1" x14ac:dyDescent="0.4">
      <c r="A327" s="355"/>
      <c r="B327" s="368"/>
      <c r="D327" s="385"/>
      <c r="E327" s="355" t="s">
        <v>882</v>
      </c>
    </row>
    <row r="328" spans="1:7" ht="21.75" customHeight="1" x14ac:dyDescent="0.4">
      <c r="A328" s="355"/>
      <c r="B328" s="355"/>
      <c r="E328" s="368" t="s">
        <v>883</v>
      </c>
      <c r="G328" s="385"/>
    </row>
    <row r="329" spans="1:7" ht="21.75" customHeight="1" x14ac:dyDescent="0.4">
      <c r="A329" s="355"/>
      <c r="B329" s="368"/>
      <c r="D329" s="368" t="s">
        <v>884</v>
      </c>
    </row>
    <row r="330" spans="1:7" ht="21.75" customHeight="1" x14ac:dyDescent="0.4">
      <c r="A330" s="355"/>
      <c r="B330" s="355"/>
      <c r="E330" s="355" t="s">
        <v>180</v>
      </c>
      <c r="G330" s="385"/>
    </row>
    <row r="331" spans="1:7" ht="21.75" customHeight="1" x14ac:dyDescent="0.4">
      <c r="A331" s="355"/>
      <c r="B331" s="355"/>
      <c r="E331" s="355" t="s">
        <v>885</v>
      </c>
      <c r="G331" s="385"/>
    </row>
    <row r="332" spans="1:7" ht="21.75" customHeight="1" x14ac:dyDescent="0.4">
      <c r="A332" s="355"/>
      <c r="B332" s="355"/>
      <c r="E332" s="355" t="s">
        <v>181</v>
      </c>
      <c r="G332" s="385"/>
    </row>
    <row r="333" spans="1:7" ht="21.75" customHeight="1" x14ac:dyDescent="0.4">
      <c r="A333" s="355"/>
      <c r="B333" s="355"/>
      <c r="E333" s="355" t="s">
        <v>182</v>
      </c>
      <c r="G333" s="385"/>
    </row>
    <row r="334" spans="1:7" ht="21.75" customHeight="1" x14ac:dyDescent="0.4">
      <c r="A334" s="355"/>
      <c r="B334" s="355"/>
      <c r="D334" s="368" t="s">
        <v>887</v>
      </c>
    </row>
    <row r="335" spans="1:7" ht="21.75" customHeight="1" x14ac:dyDescent="0.4">
      <c r="A335" s="355"/>
      <c r="B335" s="355"/>
      <c r="D335" s="368" t="s">
        <v>888</v>
      </c>
    </row>
    <row r="336" spans="1:7" ht="21.75" customHeight="1" x14ac:dyDescent="0.4">
      <c r="A336" s="355"/>
      <c r="B336" s="355"/>
      <c r="E336" s="355" t="s">
        <v>183</v>
      </c>
      <c r="G336" s="385"/>
    </row>
    <row r="337" spans="1:7" ht="21.75" customHeight="1" x14ac:dyDescent="0.4">
      <c r="A337" s="355"/>
      <c r="B337" s="355"/>
      <c r="D337" s="368" t="s">
        <v>889</v>
      </c>
    </row>
    <row r="338" spans="1:7" ht="21.75" customHeight="1" x14ac:dyDescent="0.4">
      <c r="A338" s="355"/>
      <c r="B338" s="355"/>
      <c r="E338" s="355" t="s">
        <v>890</v>
      </c>
      <c r="G338" s="385"/>
    </row>
    <row r="339" spans="1:7" ht="21.75" customHeight="1" x14ac:dyDescent="0.4">
      <c r="A339" s="355"/>
      <c r="B339" s="355"/>
      <c r="D339" s="368" t="s">
        <v>891</v>
      </c>
    </row>
    <row r="340" spans="1:7" ht="21.75" customHeight="1" x14ac:dyDescent="0.4">
      <c r="A340" s="355"/>
      <c r="B340" s="355"/>
      <c r="D340" s="368" t="s">
        <v>892</v>
      </c>
    </row>
    <row r="341" spans="1:7" ht="21.75" customHeight="1" x14ac:dyDescent="0.4">
      <c r="A341" s="355"/>
      <c r="B341" s="355"/>
      <c r="D341" s="368" t="s">
        <v>893</v>
      </c>
    </row>
    <row r="342" spans="1:7" ht="21.75" customHeight="1" x14ac:dyDescent="0.4">
      <c r="A342" s="355"/>
      <c r="B342" s="355"/>
      <c r="D342" s="368" t="s">
        <v>894</v>
      </c>
    </row>
    <row r="343" spans="1:7" ht="21.75" customHeight="1" x14ac:dyDescent="0.4">
      <c r="A343" s="355"/>
      <c r="B343" s="355"/>
      <c r="D343" s="368" t="s">
        <v>895</v>
      </c>
    </row>
    <row r="344" spans="1:7" ht="21.75" customHeight="1" x14ac:dyDescent="0.4">
      <c r="A344" s="355"/>
      <c r="B344" s="355"/>
      <c r="D344" s="368" t="s">
        <v>896</v>
      </c>
    </row>
    <row r="345" spans="1:7" ht="21.75" customHeight="1" x14ac:dyDescent="0.4">
      <c r="A345" s="355"/>
      <c r="B345" s="355"/>
      <c r="E345" s="355" t="s">
        <v>534</v>
      </c>
      <c r="G345" s="385"/>
    </row>
    <row r="346" spans="1:7" ht="21.75" customHeight="1" x14ac:dyDescent="0.4">
      <c r="A346" s="355"/>
      <c r="B346" s="355"/>
      <c r="D346" s="368" t="s">
        <v>897</v>
      </c>
    </row>
    <row r="347" spans="1:7" ht="21.75" customHeight="1" x14ac:dyDescent="0.4">
      <c r="A347" s="355"/>
      <c r="B347" s="355"/>
      <c r="E347" s="355" t="s">
        <v>535</v>
      </c>
      <c r="G347" s="385"/>
    </row>
    <row r="348" spans="1:7" ht="21.75" customHeight="1" x14ac:dyDescent="0.4">
      <c r="A348" s="355"/>
      <c r="B348" s="355"/>
      <c r="D348" s="368" t="s">
        <v>898</v>
      </c>
    </row>
    <row r="349" spans="1:7" ht="21.75" customHeight="1" x14ac:dyDescent="0.4">
      <c r="A349" s="355"/>
      <c r="B349" s="355"/>
      <c r="E349" s="355" t="s">
        <v>536</v>
      </c>
      <c r="G349" s="385"/>
    </row>
    <row r="350" spans="1:7" ht="21.75" customHeight="1" x14ac:dyDescent="0.4">
      <c r="A350" s="355"/>
      <c r="B350" s="355"/>
      <c r="E350" s="355" t="s">
        <v>899</v>
      </c>
      <c r="G350" s="385"/>
    </row>
    <row r="351" spans="1:7" ht="21.75" customHeight="1" x14ac:dyDescent="0.4">
      <c r="A351" s="355"/>
      <c r="B351" s="355"/>
      <c r="E351" s="355" t="s">
        <v>537</v>
      </c>
      <c r="G351" s="385"/>
    </row>
    <row r="352" spans="1:7" ht="21.75" customHeight="1" x14ac:dyDescent="0.4">
      <c r="A352" s="355"/>
      <c r="B352" s="355"/>
      <c r="D352" s="368" t="s">
        <v>903</v>
      </c>
    </row>
    <row r="353" spans="1:7" ht="21.75" customHeight="1" x14ac:dyDescent="0.4">
      <c r="A353" s="355"/>
      <c r="B353" s="355"/>
      <c r="E353" s="355" t="s">
        <v>902</v>
      </c>
      <c r="G353" s="385"/>
    </row>
    <row r="354" spans="1:7" ht="21.75" customHeight="1" x14ac:dyDescent="0.4">
      <c r="A354" s="355"/>
      <c r="B354" s="355"/>
      <c r="E354" s="355" t="s">
        <v>900</v>
      </c>
      <c r="G354" s="385"/>
    </row>
    <row r="355" spans="1:7" ht="21.75" customHeight="1" x14ac:dyDescent="0.4">
      <c r="A355" s="355"/>
      <c r="B355" s="355"/>
      <c r="E355" s="355" t="s">
        <v>901</v>
      </c>
      <c r="G355" s="385"/>
    </row>
    <row r="356" spans="1:7" ht="21.75" customHeight="1" x14ac:dyDescent="0.4">
      <c r="A356" s="355"/>
      <c r="B356" s="355"/>
      <c r="D356" s="368" t="s">
        <v>904</v>
      </c>
    </row>
    <row r="357" spans="1:7" ht="21.75" customHeight="1" x14ac:dyDescent="0.4">
      <c r="A357" s="355"/>
      <c r="B357" s="355"/>
      <c r="E357" s="355" t="s">
        <v>165</v>
      </c>
    </row>
    <row r="358" spans="1:7" ht="21.75" customHeight="1" x14ac:dyDescent="0.4">
      <c r="A358" s="355"/>
      <c r="B358" s="355"/>
      <c r="E358" s="355" t="s">
        <v>166</v>
      </c>
    </row>
    <row r="359" spans="1:7" ht="21.75" customHeight="1" x14ac:dyDescent="0.4">
      <c r="A359" s="355"/>
      <c r="B359" s="355"/>
    </row>
    <row r="360" spans="1:7" ht="21.75" customHeight="1" x14ac:dyDescent="0.4">
      <c r="A360" s="355"/>
      <c r="B360" s="355"/>
      <c r="C360" s="355" t="s">
        <v>167</v>
      </c>
    </row>
    <row r="361" spans="1:7" ht="21.75" customHeight="1" x14ac:dyDescent="0.4">
      <c r="A361" s="355"/>
      <c r="B361" s="355"/>
      <c r="C361" s="355" t="s">
        <v>905</v>
      </c>
    </row>
    <row r="362" spans="1:7" ht="21.75" customHeight="1" x14ac:dyDescent="0.4">
      <c r="A362" s="355"/>
      <c r="B362" s="355"/>
      <c r="C362" s="355" t="s">
        <v>886</v>
      </c>
    </row>
    <row r="363" spans="1:7" ht="21.75" customHeight="1" x14ac:dyDescent="0.4">
      <c r="A363" s="355"/>
      <c r="B363" s="355"/>
      <c r="C363" s="355" t="s">
        <v>168</v>
      </c>
    </row>
    <row r="364" spans="1:7" ht="21.75" customHeight="1" x14ac:dyDescent="0.4">
      <c r="A364" s="355"/>
      <c r="B364" s="355"/>
      <c r="C364" s="355" t="s">
        <v>907</v>
      </c>
    </row>
    <row r="365" spans="1:7" ht="21.75" customHeight="1" x14ac:dyDescent="0.4">
      <c r="A365" s="355"/>
      <c r="B365" s="355"/>
      <c r="C365" s="355" t="s">
        <v>71</v>
      </c>
    </row>
    <row r="366" spans="1:7" ht="21.75" customHeight="1" x14ac:dyDescent="0.4">
      <c r="A366" s="355"/>
      <c r="B366" s="355"/>
      <c r="C366" s="355" t="s">
        <v>72</v>
      </c>
    </row>
    <row r="367" spans="1:7" ht="21.75" customHeight="1" x14ac:dyDescent="0.4">
      <c r="A367" s="355"/>
      <c r="B367" s="355"/>
      <c r="C367" s="355" t="s">
        <v>73</v>
      </c>
    </row>
    <row r="368" spans="1:7" ht="21.75" customHeight="1" x14ac:dyDescent="0.4">
      <c r="A368" s="355"/>
      <c r="B368" s="355"/>
      <c r="C368" s="355" t="s">
        <v>906</v>
      </c>
    </row>
    <row r="369" spans="1:19" ht="21.75" customHeight="1" x14ac:dyDescent="0.4">
      <c r="A369" s="355"/>
      <c r="B369" s="355"/>
      <c r="C369" s="355" t="s">
        <v>74</v>
      </c>
    </row>
    <row r="370" spans="1:19" ht="21.75" customHeight="1" x14ac:dyDescent="0.4">
      <c r="A370" s="355"/>
      <c r="B370" s="355"/>
      <c r="C370" s="355" t="s">
        <v>908</v>
      </c>
    </row>
    <row r="371" spans="1:19" ht="21.75" customHeight="1" x14ac:dyDescent="0.4">
      <c r="A371" s="355"/>
      <c r="B371" s="355"/>
    </row>
    <row r="372" spans="1:19" ht="21.75" customHeight="1" x14ac:dyDescent="0.4">
      <c r="A372" s="355"/>
      <c r="B372" s="369">
        <v>3.4</v>
      </c>
      <c r="C372" s="353" t="s">
        <v>1654</v>
      </c>
    </row>
    <row r="373" spans="1:19" ht="21.75" customHeight="1" x14ac:dyDescent="0.4">
      <c r="A373" s="355"/>
      <c r="B373" s="362"/>
      <c r="C373" s="355" t="s">
        <v>1602</v>
      </c>
    </row>
    <row r="374" spans="1:19" ht="21.75" customHeight="1" x14ac:dyDescent="0.4">
      <c r="A374" s="355"/>
      <c r="B374" s="362"/>
      <c r="C374" s="355" t="s">
        <v>1017</v>
      </c>
      <c r="E374" s="355" t="str">
        <f>Q161</f>
        <v>อบต.ตะกุกใต้</v>
      </c>
      <c r="I374" s="355" t="s">
        <v>698</v>
      </c>
    </row>
    <row r="375" spans="1:19" ht="21.75" customHeight="1" x14ac:dyDescent="0.4">
      <c r="A375" s="355"/>
      <c r="B375" s="362"/>
      <c r="C375" s="1508">
        <f>Q152</f>
        <v>911043</v>
      </c>
      <c r="D375" s="1508"/>
      <c r="E375" s="355" t="s">
        <v>157</v>
      </c>
    </row>
    <row r="376" spans="1:19" ht="21.75" customHeight="1" x14ac:dyDescent="0.4">
      <c r="A376" s="355"/>
      <c r="B376" s="362"/>
      <c r="C376" s="355" t="s">
        <v>434</v>
      </c>
    </row>
    <row r="377" spans="1:19" ht="21.75" customHeight="1" x14ac:dyDescent="0.4">
      <c r="A377" s="355"/>
      <c r="B377" s="362"/>
      <c r="C377" s="355" t="s">
        <v>158</v>
      </c>
    </row>
    <row r="378" spans="1:19" ht="21.75" customHeight="1" x14ac:dyDescent="0.4">
      <c r="A378" s="355"/>
      <c r="B378" s="362"/>
      <c r="C378" s="355" t="s">
        <v>1603</v>
      </c>
    </row>
    <row r="379" spans="1:19" ht="21.75" customHeight="1" x14ac:dyDescent="0.4">
      <c r="A379" s="355"/>
      <c r="B379" s="362"/>
      <c r="C379" s="355" t="s">
        <v>1604</v>
      </c>
    </row>
    <row r="380" spans="1:19" ht="21.75" customHeight="1" x14ac:dyDescent="0.4">
      <c r="A380" s="355"/>
      <c r="B380" s="369">
        <v>3.5</v>
      </c>
      <c r="C380" s="353" t="s">
        <v>1655</v>
      </c>
    </row>
    <row r="381" spans="1:19" ht="21.75" customHeight="1" x14ac:dyDescent="0.4">
      <c r="A381" s="355"/>
      <c r="B381" s="362"/>
      <c r="C381" s="355" t="s">
        <v>1020</v>
      </c>
    </row>
    <row r="382" spans="1:19" ht="21.75" customHeight="1" x14ac:dyDescent="0.4">
      <c r="A382" s="355"/>
      <c r="B382" s="362"/>
      <c r="C382" s="355" t="str">
        <f>E374</f>
        <v>อบต.ตะกุกใต้</v>
      </c>
      <c r="F382" s="355" t="s">
        <v>1053</v>
      </c>
      <c r="Q382" s="758">
        <f>C375</f>
        <v>911043</v>
      </c>
      <c r="R382" s="758"/>
      <c r="S382" s="758"/>
    </row>
    <row r="383" spans="1:19" ht="21.75" customHeight="1" x14ac:dyDescent="0.4">
      <c r="A383" s="355"/>
      <c r="B383" s="362"/>
      <c r="C383" s="355" t="s">
        <v>366</v>
      </c>
    </row>
    <row r="384" spans="1:19" ht="21.75" customHeight="1" x14ac:dyDescent="0.4">
      <c r="A384" s="355"/>
      <c r="B384" s="362"/>
      <c r="C384" s="355" t="s">
        <v>1021</v>
      </c>
    </row>
    <row r="385" spans="1:19" ht="21.75" customHeight="1" x14ac:dyDescent="0.4">
      <c r="A385" s="355"/>
      <c r="B385" s="362"/>
      <c r="C385" s="355" t="s">
        <v>367</v>
      </c>
    </row>
    <row r="386" spans="1:19" ht="21.75" customHeight="1" x14ac:dyDescent="0.4">
      <c r="A386" s="355"/>
      <c r="B386" s="369">
        <v>3.6</v>
      </c>
      <c r="C386" s="353" t="s">
        <v>1233</v>
      </c>
    </row>
    <row r="387" spans="1:19" ht="21.75" customHeight="1" x14ac:dyDescent="0.4">
      <c r="A387" s="355"/>
      <c r="B387" s="362"/>
      <c r="C387" s="355" t="s">
        <v>1028</v>
      </c>
      <c r="L387" s="355" t="str">
        <f>C382</f>
        <v>อบต.ตะกุกใต้</v>
      </c>
      <c r="P387" s="355" t="s">
        <v>1481</v>
      </c>
    </row>
    <row r="388" spans="1:19" ht="21.75" customHeight="1" x14ac:dyDescent="0.4">
      <c r="A388" s="355"/>
      <c r="B388" s="362"/>
      <c r="C388" s="355" t="s">
        <v>1605</v>
      </c>
      <c r="R388" s="354">
        <f>รั้ว!D53</f>
        <v>33</v>
      </c>
      <c r="S388" s="355" t="s">
        <v>679</v>
      </c>
    </row>
    <row r="389" spans="1:19" ht="21.75" customHeight="1" x14ac:dyDescent="0.4">
      <c r="A389" s="355"/>
      <c r="B389" s="362"/>
      <c r="C389" s="355" t="s">
        <v>1023</v>
      </c>
    </row>
    <row r="390" spans="1:19" ht="21.75" customHeight="1" x14ac:dyDescent="0.4">
      <c r="A390" s="355"/>
      <c r="B390" s="362"/>
      <c r="C390" s="355" t="s">
        <v>1024</v>
      </c>
      <c r="I390" s="354">
        <f>R388</f>
        <v>33</v>
      </c>
      <c r="J390" s="355" t="s">
        <v>1025</v>
      </c>
    </row>
    <row r="391" spans="1:19" ht="21.75" customHeight="1" x14ac:dyDescent="0.4">
      <c r="A391" s="355"/>
      <c r="B391" s="362"/>
      <c r="C391" s="355" t="s">
        <v>1026</v>
      </c>
      <c r="H391" s="1501">
        <f>รั้ว!J52*ปร.5!K29</f>
        <v>0</v>
      </c>
      <c r="I391" s="1501"/>
      <c r="J391" s="355" t="s">
        <v>1027</v>
      </c>
    </row>
    <row r="392" spans="1:19" ht="21.75" customHeight="1" x14ac:dyDescent="0.4">
      <c r="A392" s="355"/>
      <c r="B392" s="369">
        <v>3.7</v>
      </c>
      <c r="C392" s="353" t="s">
        <v>1234</v>
      </c>
    </row>
    <row r="393" spans="1:19" ht="21.75" customHeight="1" x14ac:dyDescent="0.4">
      <c r="A393" s="355"/>
      <c r="B393" s="362"/>
      <c r="C393" s="355" t="s">
        <v>1022</v>
      </c>
      <c r="N393" s="1508">
        <f>Q382</f>
        <v>911043</v>
      </c>
      <c r="O393" s="1508"/>
      <c r="P393" s="355" t="s">
        <v>368</v>
      </c>
    </row>
    <row r="394" spans="1:19" ht="21.75" customHeight="1" x14ac:dyDescent="0.4">
      <c r="A394" s="355"/>
      <c r="B394" s="362"/>
      <c r="N394" s="758"/>
      <c r="O394" s="758"/>
    </row>
    <row r="395" spans="1:19" ht="21.75" customHeight="1" x14ac:dyDescent="0.4">
      <c r="A395" s="355"/>
      <c r="B395" s="362"/>
    </row>
    <row r="396" spans="1:19" ht="24.75" customHeight="1" x14ac:dyDescent="0.4">
      <c r="A396" s="355"/>
      <c r="H396" s="355" t="s">
        <v>1034</v>
      </c>
    </row>
    <row r="397" spans="1:19" ht="30" customHeight="1" x14ac:dyDescent="0.4">
      <c r="A397" s="355"/>
      <c r="B397" s="447"/>
      <c r="C397" s="382"/>
      <c r="D397" s="382"/>
      <c r="E397" s="382"/>
      <c r="F397" s="382"/>
      <c r="G397" s="382"/>
      <c r="H397" s="382"/>
      <c r="I397" s="382"/>
      <c r="J397" s="448" t="s">
        <v>369</v>
      </c>
      <c r="K397" s="382"/>
      <c r="L397" s="382"/>
      <c r="M397" s="382"/>
      <c r="N397" s="382"/>
      <c r="O397" s="382"/>
      <c r="P397" s="382"/>
      <c r="Q397" s="384"/>
    </row>
    <row r="398" spans="1:19" ht="21.75" customHeight="1" x14ac:dyDescent="0.4">
      <c r="A398" s="355"/>
      <c r="B398" s="449"/>
      <c r="J398" s="354" t="str">
        <f>ปกราคา!F14</f>
        <v>บ้านวังใหญ่ หมู่ที่ ๕ ตำบลทุ่งหลวง</v>
      </c>
      <c r="Q398" s="378"/>
      <c r="R398" s="368" t="s">
        <v>623</v>
      </c>
    </row>
    <row r="399" spans="1:19" ht="21.75" customHeight="1" x14ac:dyDescent="0.4">
      <c r="A399" s="355"/>
      <c r="B399" s="449"/>
      <c r="J399" s="354" t="str">
        <f>ปกราคา!F15</f>
        <v xml:space="preserve">อำเภอเวียงสระ จังหวัดสุราษฎร์ธานี </v>
      </c>
      <c r="Q399" s="378"/>
      <c r="R399" s="368" t="s">
        <v>1035</v>
      </c>
    </row>
    <row r="400" spans="1:19" ht="21.75" customHeight="1" x14ac:dyDescent="0.4">
      <c r="A400" s="355"/>
      <c r="B400" s="449"/>
      <c r="J400" s="354" t="s">
        <v>1656</v>
      </c>
      <c r="Q400" s="378"/>
    </row>
    <row r="401" spans="1:18" ht="21.75" customHeight="1" x14ac:dyDescent="0.4">
      <c r="A401" s="355"/>
      <c r="B401" s="450"/>
      <c r="C401" s="389"/>
      <c r="D401" s="389"/>
      <c r="E401" s="389"/>
      <c r="F401" s="389"/>
      <c r="G401" s="389"/>
      <c r="H401" s="389"/>
      <c r="I401" s="389"/>
      <c r="J401" s="451" t="s">
        <v>1606</v>
      </c>
      <c r="K401" s="389"/>
      <c r="L401" s="389"/>
      <c r="M401" s="389"/>
      <c r="N401" s="389"/>
      <c r="O401" s="389"/>
      <c r="P401" s="389"/>
      <c r="Q401" s="390"/>
    </row>
    <row r="402" spans="1:18" ht="12" customHeight="1" x14ac:dyDescent="0.4">
      <c r="A402" s="355"/>
      <c r="J402" s="354"/>
    </row>
    <row r="403" spans="1:18" ht="21.75" customHeight="1" x14ac:dyDescent="0.4">
      <c r="A403" s="355"/>
      <c r="C403" s="355" t="s">
        <v>1607</v>
      </c>
      <c r="J403" s="354"/>
    </row>
    <row r="404" spans="1:18" ht="12" customHeight="1" x14ac:dyDescent="0.4">
      <c r="A404" s="355"/>
      <c r="J404" s="354"/>
    </row>
    <row r="405" spans="1:18" ht="21.75" customHeight="1" x14ac:dyDescent="0.4">
      <c r="A405" s="355"/>
      <c r="B405" s="369">
        <v>3.8</v>
      </c>
      <c r="C405" s="353" t="s">
        <v>1235</v>
      </c>
      <c r="I405" s="355" t="str">
        <f>Q160</f>
        <v>อบต.ตะกุกใต้</v>
      </c>
      <c r="M405" s="355" t="s">
        <v>624</v>
      </c>
    </row>
    <row r="406" spans="1:18" ht="21.75" customHeight="1" x14ac:dyDescent="0.4">
      <c r="A406" s="355"/>
      <c r="B406" s="362"/>
      <c r="C406" s="355" t="s">
        <v>1050</v>
      </c>
    </row>
    <row r="407" spans="1:18" ht="21.75" customHeight="1" x14ac:dyDescent="0.4">
      <c r="A407" s="355"/>
      <c r="B407" s="362"/>
      <c r="C407" s="355" t="s">
        <v>1049</v>
      </c>
      <c r="G407" s="355" t="str">
        <f>I405</f>
        <v>อบต.ตะกุกใต้</v>
      </c>
      <c r="L407" s="355" t="s">
        <v>1483</v>
      </c>
    </row>
    <row r="408" spans="1:18" ht="21.75" customHeight="1" x14ac:dyDescent="0.4">
      <c r="A408" s="355"/>
      <c r="B408" s="362"/>
      <c r="C408" s="355" t="s">
        <v>1482</v>
      </c>
    </row>
    <row r="409" spans="1:18" ht="21.75" customHeight="1" x14ac:dyDescent="0.4">
      <c r="A409" s="355"/>
      <c r="B409" s="362"/>
      <c r="C409" s="355" t="s">
        <v>1608</v>
      </c>
      <c r="Q409" s="355">
        <f>ท่อส่งน้ำดิบ!D14*4</f>
        <v>0</v>
      </c>
      <c r="R409" s="355" t="s">
        <v>370</v>
      </c>
    </row>
    <row r="410" spans="1:18" ht="21.75" customHeight="1" x14ac:dyDescent="0.4">
      <c r="A410" s="355"/>
      <c r="B410" s="369">
        <v>3.9</v>
      </c>
      <c r="C410" s="353" t="s">
        <v>1236</v>
      </c>
    </row>
    <row r="411" spans="1:18" ht="21.75" customHeight="1" x14ac:dyDescent="0.4">
      <c r="A411" s="355"/>
      <c r="B411" s="362"/>
      <c r="C411" s="355" t="s">
        <v>954</v>
      </c>
    </row>
    <row r="412" spans="1:18" ht="21.75" customHeight="1" x14ac:dyDescent="0.4">
      <c r="A412" s="355"/>
      <c r="B412" s="362"/>
      <c r="C412" s="355" t="s">
        <v>1657</v>
      </c>
    </row>
    <row r="413" spans="1:18" ht="21.75" customHeight="1" x14ac:dyDescent="0.4">
      <c r="A413" s="355"/>
      <c r="B413" s="362"/>
      <c r="C413" s="355" t="s">
        <v>953</v>
      </c>
    </row>
    <row r="414" spans="1:18" ht="21.75" customHeight="1" x14ac:dyDescent="0.4">
      <c r="A414" s="355"/>
      <c r="B414" s="362"/>
      <c r="C414" s="355" t="s">
        <v>1059</v>
      </c>
      <c r="M414" s="354">
        <v>2</v>
      </c>
      <c r="N414" s="355" t="s">
        <v>1051</v>
      </c>
    </row>
    <row r="415" spans="1:18" ht="21.75" customHeight="1" x14ac:dyDescent="0.4">
      <c r="A415" s="355"/>
      <c r="B415" s="362"/>
      <c r="C415" s="355" t="s">
        <v>1029</v>
      </c>
    </row>
    <row r="416" spans="1:18" ht="21.75" customHeight="1" x14ac:dyDescent="0.4">
      <c r="A416" s="355"/>
      <c r="B416" s="362"/>
      <c r="D416" s="355" t="s">
        <v>943</v>
      </c>
    </row>
    <row r="417" spans="1:4" ht="21.75" customHeight="1" x14ac:dyDescent="0.4">
      <c r="A417" s="355"/>
      <c r="B417" s="362"/>
      <c r="D417" s="355" t="s">
        <v>1030</v>
      </c>
    </row>
    <row r="418" spans="1:4" ht="21.75" customHeight="1" x14ac:dyDescent="0.4">
      <c r="A418" s="355"/>
      <c r="B418" s="362"/>
      <c r="D418" s="355" t="s">
        <v>1031</v>
      </c>
    </row>
    <row r="419" spans="1:4" ht="21.75" customHeight="1" x14ac:dyDescent="0.4">
      <c r="A419" s="355"/>
      <c r="B419" s="362"/>
      <c r="C419" s="355" t="s">
        <v>1054</v>
      </c>
    </row>
    <row r="420" spans="1:4" ht="21.75" customHeight="1" x14ac:dyDescent="0.4">
      <c r="A420" s="355"/>
      <c r="B420" s="362"/>
      <c r="C420" s="355" t="s">
        <v>1055</v>
      </c>
    </row>
    <row r="421" spans="1:4" ht="21.75" customHeight="1" x14ac:dyDescent="0.4">
      <c r="A421" s="355"/>
      <c r="B421" s="362"/>
      <c r="C421" s="355" t="s">
        <v>1056</v>
      </c>
    </row>
    <row r="422" spans="1:4" ht="21.75" customHeight="1" x14ac:dyDescent="0.4">
      <c r="A422" s="355"/>
      <c r="B422" s="362"/>
      <c r="D422" s="355" t="s">
        <v>1032</v>
      </c>
    </row>
    <row r="423" spans="1:4" ht="21.75" customHeight="1" x14ac:dyDescent="0.4">
      <c r="A423" s="355"/>
      <c r="B423" s="362"/>
      <c r="C423" s="355" t="s">
        <v>944</v>
      </c>
    </row>
    <row r="424" spans="1:4" ht="21.75" customHeight="1" x14ac:dyDescent="0.4">
      <c r="A424" s="355"/>
      <c r="B424" s="362"/>
      <c r="C424" s="355" t="s">
        <v>945</v>
      </c>
    </row>
    <row r="425" spans="1:4" ht="21.75" customHeight="1" x14ac:dyDescent="0.4">
      <c r="A425" s="355"/>
      <c r="B425" s="362"/>
      <c r="D425" s="355" t="s">
        <v>1033</v>
      </c>
    </row>
    <row r="426" spans="1:4" ht="21.75" customHeight="1" x14ac:dyDescent="0.4">
      <c r="A426" s="355"/>
      <c r="B426" s="362"/>
      <c r="C426" s="355" t="s">
        <v>946</v>
      </c>
    </row>
    <row r="427" spans="1:4" ht="21.75" customHeight="1" x14ac:dyDescent="0.4">
      <c r="A427" s="355"/>
      <c r="B427" s="362"/>
      <c r="D427" s="355" t="s">
        <v>1036</v>
      </c>
    </row>
    <row r="428" spans="1:4" ht="21.75" customHeight="1" x14ac:dyDescent="0.4">
      <c r="A428" s="355"/>
      <c r="B428" s="362"/>
      <c r="C428" s="355" t="s">
        <v>947</v>
      </c>
    </row>
    <row r="429" spans="1:4" ht="21.75" customHeight="1" x14ac:dyDescent="0.4">
      <c r="A429" s="355"/>
      <c r="B429" s="362"/>
      <c r="C429" s="355" t="s">
        <v>948</v>
      </c>
    </row>
    <row r="430" spans="1:4" ht="21.75" customHeight="1" x14ac:dyDescent="0.4">
      <c r="A430" s="355"/>
      <c r="B430" s="362"/>
      <c r="C430" s="355" t="s">
        <v>949</v>
      </c>
    </row>
    <row r="431" spans="1:4" ht="21.75" customHeight="1" x14ac:dyDescent="0.4">
      <c r="A431" s="355"/>
      <c r="B431" s="362"/>
    </row>
    <row r="432" spans="1:4" ht="21.75" customHeight="1" x14ac:dyDescent="0.4">
      <c r="A432" s="355"/>
      <c r="B432" s="362"/>
      <c r="C432" s="355" t="s">
        <v>950</v>
      </c>
    </row>
    <row r="433" spans="1:18" ht="21.75" customHeight="1" x14ac:dyDescent="0.4">
      <c r="A433" s="355"/>
      <c r="B433" s="362"/>
      <c r="C433" s="355" t="s">
        <v>951</v>
      </c>
    </row>
    <row r="434" spans="1:18" ht="21.75" customHeight="1" x14ac:dyDescent="0.4">
      <c r="A434" s="355"/>
      <c r="B434" s="362"/>
      <c r="C434" s="355" t="s">
        <v>952</v>
      </c>
    </row>
    <row r="435" spans="1:18" ht="21.75" customHeight="1" x14ac:dyDescent="0.4">
      <c r="A435" s="355"/>
      <c r="B435" s="362"/>
      <c r="C435" s="355" t="s">
        <v>1037</v>
      </c>
    </row>
    <row r="436" spans="1:18" ht="21.75" customHeight="1" x14ac:dyDescent="0.4">
      <c r="A436" s="355"/>
      <c r="B436" s="353"/>
      <c r="D436" s="355" t="s">
        <v>1038</v>
      </c>
    </row>
    <row r="437" spans="1:18" ht="21.75" customHeight="1" x14ac:dyDescent="0.4">
      <c r="A437" s="355"/>
      <c r="B437" s="353"/>
      <c r="E437" s="355" t="s">
        <v>927</v>
      </c>
    </row>
    <row r="438" spans="1:18" ht="21.75" customHeight="1" x14ac:dyDescent="0.4">
      <c r="A438" s="355"/>
      <c r="B438" s="353"/>
      <c r="E438" s="355" t="s">
        <v>928</v>
      </c>
    </row>
    <row r="439" spans="1:18" ht="21.75" customHeight="1" x14ac:dyDescent="0.4">
      <c r="A439" s="355"/>
      <c r="B439" s="353"/>
      <c r="E439" s="355" t="s">
        <v>929</v>
      </c>
    </row>
    <row r="440" spans="1:18" ht="21.75" customHeight="1" x14ac:dyDescent="0.4">
      <c r="A440" s="355"/>
      <c r="B440" s="353"/>
      <c r="D440" s="355" t="s">
        <v>1039</v>
      </c>
      <c r="R440" s="452"/>
    </row>
    <row r="441" spans="1:18" ht="21.75" customHeight="1" x14ac:dyDescent="0.4">
      <c r="A441" s="355"/>
      <c r="B441" s="353"/>
      <c r="D441" s="355" t="s">
        <v>1040</v>
      </c>
    </row>
    <row r="442" spans="1:18" ht="21.75" customHeight="1" x14ac:dyDescent="0.4">
      <c r="A442" s="355"/>
      <c r="B442" s="353"/>
      <c r="E442" s="355" t="s">
        <v>1042</v>
      </c>
    </row>
    <row r="443" spans="1:18" ht="21.75" customHeight="1" x14ac:dyDescent="0.4">
      <c r="A443" s="355"/>
      <c r="B443" s="353"/>
      <c r="E443" s="355" t="s">
        <v>1046</v>
      </c>
    </row>
    <row r="444" spans="1:18" ht="21.75" customHeight="1" x14ac:dyDescent="0.4">
      <c r="A444" s="355"/>
      <c r="B444" s="353"/>
      <c r="D444" s="355" t="s">
        <v>1045</v>
      </c>
    </row>
    <row r="445" spans="1:18" ht="21.75" customHeight="1" x14ac:dyDescent="0.4">
      <c r="A445" s="355"/>
      <c r="B445" s="353"/>
      <c r="E445" s="355" t="s">
        <v>1043</v>
      </c>
    </row>
    <row r="446" spans="1:18" ht="21.75" customHeight="1" x14ac:dyDescent="0.4">
      <c r="A446" s="355"/>
      <c r="B446" s="353"/>
      <c r="E446" s="355" t="s">
        <v>1044</v>
      </c>
    </row>
    <row r="447" spans="1:18" ht="21.75" customHeight="1" x14ac:dyDescent="0.4">
      <c r="A447" s="355"/>
      <c r="B447" s="353"/>
      <c r="E447" s="355" t="s">
        <v>1052</v>
      </c>
      <c r="P447" s="354">
        <v>7</v>
      </c>
      <c r="Q447" s="355" t="s">
        <v>1237</v>
      </c>
    </row>
    <row r="448" spans="1:18" ht="21.75" customHeight="1" x14ac:dyDescent="0.4">
      <c r="A448" s="355"/>
      <c r="B448" s="353"/>
      <c r="D448" s="355" t="s">
        <v>647</v>
      </c>
      <c r="I448" s="354">
        <v>45</v>
      </c>
      <c r="J448" s="355" t="s">
        <v>930</v>
      </c>
    </row>
    <row r="449" spans="1:17" ht="21.75" customHeight="1" x14ac:dyDescent="0.4">
      <c r="A449" s="355"/>
      <c r="B449" s="353"/>
      <c r="D449" s="355" t="s">
        <v>931</v>
      </c>
      <c r="Q449" s="453"/>
    </row>
    <row r="450" spans="1:17" ht="21.75" customHeight="1" x14ac:dyDescent="0.4">
      <c r="A450" s="355"/>
      <c r="B450" s="353"/>
      <c r="D450" s="355" t="s">
        <v>1041</v>
      </c>
    </row>
    <row r="451" spans="1:17" ht="21.75" customHeight="1" x14ac:dyDescent="0.4">
      <c r="A451" s="355"/>
      <c r="B451" s="353"/>
      <c r="E451" s="355" t="s">
        <v>932</v>
      </c>
    </row>
    <row r="452" spans="1:17" ht="21.75" customHeight="1" x14ac:dyDescent="0.4">
      <c r="A452" s="355"/>
      <c r="B452" s="353"/>
      <c r="D452" s="355" t="s">
        <v>1068</v>
      </c>
    </row>
    <row r="453" spans="1:17" ht="21.75" customHeight="1" x14ac:dyDescent="0.4">
      <c r="A453" s="355"/>
      <c r="B453" s="353"/>
      <c r="E453" s="355" t="s">
        <v>1069</v>
      </c>
    </row>
    <row r="454" spans="1:17" ht="21.75" customHeight="1" x14ac:dyDescent="0.4">
      <c r="A454" s="355"/>
      <c r="B454" s="353"/>
      <c r="D454" s="355" t="s">
        <v>1070</v>
      </c>
    </row>
    <row r="455" spans="1:17" ht="21.75" customHeight="1" x14ac:dyDescent="0.4">
      <c r="A455" s="355"/>
      <c r="B455" s="353"/>
      <c r="E455" s="355" t="s">
        <v>933</v>
      </c>
    </row>
    <row r="456" spans="1:17" ht="21.75" customHeight="1" x14ac:dyDescent="0.4">
      <c r="A456" s="355"/>
      <c r="B456" s="353"/>
      <c r="F456" s="355" t="s">
        <v>934</v>
      </c>
    </row>
    <row r="457" spans="1:17" ht="21.75" customHeight="1" x14ac:dyDescent="0.4">
      <c r="A457" s="355"/>
      <c r="B457" s="353"/>
      <c r="F457" s="355" t="s">
        <v>935</v>
      </c>
    </row>
    <row r="458" spans="1:17" ht="21.75" customHeight="1" x14ac:dyDescent="0.4">
      <c r="A458" s="355"/>
      <c r="B458" s="353"/>
      <c r="F458" s="355" t="s">
        <v>936</v>
      </c>
    </row>
    <row r="459" spans="1:17" ht="21.75" customHeight="1" x14ac:dyDescent="0.4">
      <c r="A459" s="355"/>
      <c r="B459" s="353"/>
      <c r="F459" s="355" t="s">
        <v>937</v>
      </c>
    </row>
    <row r="460" spans="1:17" ht="21.75" customHeight="1" x14ac:dyDescent="0.4">
      <c r="A460" s="355"/>
      <c r="B460" s="353"/>
      <c r="F460" s="355" t="s">
        <v>1057</v>
      </c>
    </row>
    <row r="461" spans="1:17" ht="21.75" customHeight="1" x14ac:dyDescent="0.4">
      <c r="A461" s="355"/>
      <c r="B461" s="353"/>
      <c r="E461" s="355" t="s">
        <v>938</v>
      </c>
    </row>
    <row r="462" spans="1:17" ht="21.75" customHeight="1" x14ac:dyDescent="0.4">
      <c r="A462" s="355"/>
      <c r="B462" s="353"/>
      <c r="D462" s="355" t="s">
        <v>114</v>
      </c>
    </row>
    <row r="463" spans="1:17" ht="21.75" customHeight="1" x14ac:dyDescent="0.4">
      <c r="A463" s="355"/>
      <c r="B463" s="353"/>
      <c r="E463" s="355" t="s">
        <v>939</v>
      </c>
    </row>
    <row r="464" spans="1:17" ht="21.75" customHeight="1" x14ac:dyDescent="0.4">
      <c r="A464" s="355"/>
      <c r="B464" s="353"/>
      <c r="E464" s="355" t="s">
        <v>1058</v>
      </c>
    </row>
    <row r="465" spans="1:25" ht="21.75" customHeight="1" x14ac:dyDescent="0.4">
      <c r="A465" s="355"/>
      <c r="B465" s="353"/>
      <c r="D465" s="355" t="s">
        <v>1071</v>
      </c>
    </row>
    <row r="466" spans="1:25" ht="21.75" customHeight="1" x14ac:dyDescent="0.4">
      <c r="A466" s="355"/>
      <c r="B466" s="353"/>
    </row>
    <row r="467" spans="1:25" ht="21.75" customHeight="1" x14ac:dyDescent="0.4">
      <c r="A467" s="355"/>
      <c r="B467" s="353"/>
    </row>
    <row r="468" spans="1:25" ht="21.75" customHeight="1" x14ac:dyDescent="0.4">
      <c r="A468" s="355"/>
      <c r="B468" s="353"/>
      <c r="D468" s="355" t="s">
        <v>1048</v>
      </c>
    </row>
    <row r="469" spans="1:25" ht="21.75" customHeight="1" x14ac:dyDescent="0.4">
      <c r="A469" s="355"/>
      <c r="B469" s="353"/>
      <c r="E469" s="355" t="s">
        <v>940</v>
      </c>
    </row>
    <row r="470" spans="1:25" ht="21.75" customHeight="1" x14ac:dyDescent="0.4">
      <c r="A470" s="355"/>
      <c r="B470" s="353"/>
      <c r="D470" s="355" t="s">
        <v>1072</v>
      </c>
    </row>
    <row r="471" spans="1:25" ht="21.75" customHeight="1" x14ac:dyDescent="0.4">
      <c r="A471" s="355"/>
      <c r="B471" s="353"/>
      <c r="D471" s="355" t="s">
        <v>1073</v>
      </c>
    </row>
    <row r="472" spans="1:25" ht="21.75" customHeight="1" x14ac:dyDescent="0.4">
      <c r="A472" s="355"/>
      <c r="B472" s="353"/>
      <c r="E472" s="355" t="s">
        <v>1047</v>
      </c>
    </row>
    <row r="473" spans="1:25" ht="21.75" customHeight="1" x14ac:dyDescent="0.4">
      <c r="A473" s="355"/>
      <c r="B473" s="353"/>
      <c r="D473" s="355" t="s">
        <v>1074</v>
      </c>
      <c r="N473" s="452"/>
      <c r="S473" s="452"/>
      <c r="T473" s="452"/>
    </row>
    <row r="474" spans="1:25" ht="21.75" customHeight="1" x14ac:dyDescent="0.4">
      <c r="A474" s="355"/>
      <c r="B474" s="353"/>
      <c r="D474" s="355" t="s">
        <v>1075</v>
      </c>
      <c r="M474" s="354"/>
      <c r="N474" s="354"/>
      <c r="Y474" s="452"/>
    </row>
    <row r="475" spans="1:25" ht="21.75" customHeight="1" x14ac:dyDescent="0.4">
      <c r="A475" s="355"/>
      <c r="B475" s="353"/>
      <c r="E475" s="446" t="s">
        <v>1238</v>
      </c>
    </row>
    <row r="476" spans="1:25" ht="21.75" customHeight="1" x14ac:dyDescent="0.4">
      <c r="A476" s="355"/>
      <c r="B476" s="353"/>
      <c r="E476" s="446"/>
    </row>
    <row r="477" spans="1:25" ht="21.75" customHeight="1" x14ac:dyDescent="0.4">
      <c r="A477" s="355"/>
      <c r="B477" s="353"/>
      <c r="C477" s="355" t="s">
        <v>1076</v>
      </c>
    </row>
    <row r="478" spans="1:25" ht="21.75" customHeight="1" x14ac:dyDescent="0.4">
      <c r="A478" s="355"/>
      <c r="B478" s="353"/>
      <c r="D478" s="355" t="s">
        <v>909</v>
      </c>
      <c r="J478" s="453"/>
      <c r="L478" s="355" t="s">
        <v>319</v>
      </c>
    </row>
    <row r="479" spans="1:25" ht="21.75" customHeight="1" x14ac:dyDescent="0.4">
      <c r="A479" s="355"/>
      <c r="B479" s="353"/>
      <c r="D479" s="368" t="s">
        <v>1060</v>
      </c>
    </row>
    <row r="480" spans="1:25" ht="21.75" customHeight="1" x14ac:dyDescent="0.4">
      <c r="A480" s="355"/>
      <c r="B480" s="353"/>
      <c r="D480" s="355" t="s">
        <v>910</v>
      </c>
    </row>
    <row r="481" spans="1:17" ht="21.75" customHeight="1" x14ac:dyDescent="0.4">
      <c r="A481" s="355"/>
      <c r="B481" s="353"/>
      <c r="D481" s="355" t="s">
        <v>1061</v>
      </c>
    </row>
    <row r="482" spans="1:17" ht="21.75" customHeight="1" x14ac:dyDescent="0.4">
      <c r="A482" s="355"/>
      <c r="B482" s="353"/>
      <c r="E482" s="355" t="s">
        <v>941</v>
      </c>
    </row>
    <row r="483" spans="1:17" ht="21.75" customHeight="1" x14ac:dyDescent="0.4">
      <c r="A483" s="355"/>
      <c r="B483" s="353"/>
      <c r="D483" s="355" t="s">
        <v>1077</v>
      </c>
      <c r="Q483" s="452"/>
    </row>
    <row r="484" spans="1:17" ht="21.75" customHeight="1" x14ac:dyDescent="0.4">
      <c r="A484" s="355"/>
      <c r="B484" s="353"/>
      <c r="D484" s="368" t="s">
        <v>1078</v>
      </c>
      <c r="Q484" s="452"/>
    </row>
    <row r="485" spans="1:17" ht="21.75" customHeight="1" x14ac:dyDescent="0.4">
      <c r="A485" s="355"/>
      <c r="B485" s="353"/>
      <c r="E485" s="355" t="s">
        <v>1067</v>
      </c>
    </row>
    <row r="486" spans="1:17" ht="21.75" customHeight="1" x14ac:dyDescent="0.4">
      <c r="A486" s="355"/>
      <c r="B486" s="353"/>
      <c r="D486" s="355" t="s">
        <v>1079</v>
      </c>
    </row>
    <row r="487" spans="1:17" ht="21.75" customHeight="1" x14ac:dyDescent="0.4">
      <c r="A487" s="355"/>
      <c r="B487" s="353"/>
      <c r="D487" s="355" t="s">
        <v>1080</v>
      </c>
    </row>
    <row r="488" spans="1:17" ht="21.75" customHeight="1" x14ac:dyDescent="0.4">
      <c r="A488" s="355"/>
      <c r="B488" s="353"/>
      <c r="E488" s="355" t="s">
        <v>1081</v>
      </c>
    </row>
    <row r="489" spans="1:17" ht="21.75" customHeight="1" x14ac:dyDescent="0.4">
      <c r="A489" s="355"/>
      <c r="B489" s="353"/>
      <c r="D489" s="355" t="s">
        <v>1082</v>
      </c>
      <c r="P489" s="354">
        <v>12</v>
      </c>
      <c r="Q489" s="355" t="s">
        <v>1083</v>
      </c>
    </row>
    <row r="490" spans="1:17" ht="21.75" customHeight="1" x14ac:dyDescent="0.4">
      <c r="A490" s="355"/>
      <c r="B490" s="353"/>
      <c r="D490" s="355" t="s">
        <v>1084</v>
      </c>
      <c r="F490" s="354">
        <v>18</v>
      </c>
      <c r="G490" s="355" t="s">
        <v>1085</v>
      </c>
    </row>
    <row r="491" spans="1:17" ht="21.75" customHeight="1" x14ac:dyDescent="0.4">
      <c r="A491" s="355"/>
      <c r="B491" s="353"/>
      <c r="D491" s="355" t="s">
        <v>1086</v>
      </c>
    </row>
    <row r="492" spans="1:17" ht="21.75" customHeight="1" x14ac:dyDescent="0.4">
      <c r="A492" s="355"/>
      <c r="B492" s="353"/>
      <c r="E492" s="355" t="s">
        <v>1087</v>
      </c>
    </row>
    <row r="493" spans="1:17" ht="21.75" customHeight="1" x14ac:dyDescent="0.4">
      <c r="A493" s="355"/>
      <c r="B493" s="353"/>
      <c r="E493" s="355" t="s">
        <v>942</v>
      </c>
    </row>
    <row r="494" spans="1:17" ht="21.75" customHeight="1" x14ac:dyDescent="0.4">
      <c r="A494" s="355"/>
      <c r="B494" s="353"/>
      <c r="E494" s="355" t="s">
        <v>1088</v>
      </c>
    </row>
    <row r="495" spans="1:17" ht="21.75" customHeight="1" x14ac:dyDescent="0.4">
      <c r="A495" s="355"/>
      <c r="B495" s="353"/>
      <c r="E495" s="385" t="s">
        <v>146</v>
      </c>
      <c r="F495" s="355" t="s">
        <v>147</v>
      </c>
    </row>
    <row r="496" spans="1:17" ht="21.75" customHeight="1" x14ac:dyDescent="0.4">
      <c r="A496" s="355"/>
      <c r="B496" s="353"/>
      <c r="E496" s="385" t="s">
        <v>146</v>
      </c>
      <c r="F496" s="355" t="s">
        <v>148</v>
      </c>
    </row>
    <row r="497" spans="1:17" ht="21.75" customHeight="1" x14ac:dyDescent="0.4">
      <c r="A497" s="355"/>
      <c r="B497" s="353"/>
      <c r="D497" s="355" t="s">
        <v>1062</v>
      </c>
    </row>
    <row r="498" spans="1:17" ht="21.75" customHeight="1" x14ac:dyDescent="0.4">
      <c r="A498" s="355"/>
      <c r="B498" s="353"/>
      <c r="E498" s="355" t="s">
        <v>1089</v>
      </c>
    </row>
    <row r="499" spans="1:17" ht="21.75" customHeight="1" x14ac:dyDescent="0.4">
      <c r="A499" s="355"/>
      <c r="B499" s="353"/>
      <c r="D499" s="355" t="s">
        <v>1090</v>
      </c>
    </row>
    <row r="500" spans="1:17" ht="21.75" customHeight="1" x14ac:dyDescent="0.4">
      <c r="A500" s="355"/>
      <c r="B500" s="353"/>
      <c r="E500" s="355" t="s">
        <v>1091</v>
      </c>
    </row>
    <row r="501" spans="1:17" ht="21.75" customHeight="1" x14ac:dyDescent="0.4">
      <c r="A501" s="355"/>
      <c r="B501" s="353"/>
      <c r="D501" s="355" t="s">
        <v>1092</v>
      </c>
      <c r="F501" s="354">
        <v>5</v>
      </c>
      <c r="G501" s="355" t="s">
        <v>1093</v>
      </c>
      <c r="I501" s="354">
        <v>20</v>
      </c>
      <c r="J501" s="355" t="s">
        <v>1094</v>
      </c>
    </row>
    <row r="502" spans="1:17" ht="21.75" customHeight="1" x14ac:dyDescent="0.4">
      <c r="A502" s="355"/>
      <c r="B502" s="353"/>
      <c r="F502" s="354"/>
      <c r="I502" s="354"/>
    </row>
    <row r="503" spans="1:17" ht="21.75" customHeight="1" x14ac:dyDescent="0.4">
      <c r="A503" s="355"/>
      <c r="B503" s="353"/>
      <c r="F503" s="354"/>
      <c r="I503" s="354"/>
    </row>
    <row r="504" spans="1:17" ht="21.75" customHeight="1" x14ac:dyDescent="0.4">
      <c r="A504" s="355"/>
      <c r="B504" s="353"/>
      <c r="E504" s="355" t="s">
        <v>1095</v>
      </c>
    </row>
    <row r="505" spans="1:17" ht="21.75" customHeight="1" x14ac:dyDescent="0.4">
      <c r="A505" s="355"/>
      <c r="B505" s="353"/>
      <c r="D505" s="355" t="s">
        <v>1096</v>
      </c>
    </row>
    <row r="506" spans="1:17" ht="21.75" customHeight="1" x14ac:dyDescent="0.4">
      <c r="A506" s="355"/>
      <c r="B506" s="353"/>
      <c r="E506" s="355" t="s">
        <v>1097</v>
      </c>
    </row>
    <row r="507" spans="1:17" ht="21.75" customHeight="1" x14ac:dyDescent="0.4">
      <c r="A507" s="355"/>
      <c r="B507" s="353"/>
      <c r="D507" s="355" t="s">
        <v>1098</v>
      </c>
    </row>
    <row r="508" spans="1:17" ht="21.75" customHeight="1" x14ac:dyDescent="0.4">
      <c r="A508" s="355"/>
      <c r="B508" s="353"/>
      <c r="E508" s="355" t="s">
        <v>1099</v>
      </c>
    </row>
    <row r="509" spans="1:17" ht="21.75" customHeight="1" x14ac:dyDescent="0.4">
      <c r="A509" s="355"/>
      <c r="B509" s="353"/>
      <c r="F509" s="355" t="s">
        <v>1100</v>
      </c>
      <c r="J509" s="355" t="s">
        <v>515</v>
      </c>
      <c r="Q509" s="355" t="s">
        <v>1098</v>
      </c>
    </row>
    <row r="510" spans="1:17" ht="21.75" customHeight="1" x14ac:dyDescent="0.4">
      <c r="A510" s="355"/>
      <c r="B510" s="353"/>
      <c r="F510" s="355" t="s">
        <v>1101</v>
      </c>
      <c r="J510" s="355" t="s">
        <v>516</v>
      </c>
      <c r="Q510" s="355" t="s">
        <v>1098</v>
      </c>
    </row>
    <row r="511" spans="1:17" ht="21.75" customHeight="1" x14ac:dyDescent="0.4">
      <c r="A511" s="355"/>
      <c r="B511" s="353"/>
      <c r="F511" s="355" t="s">
        <v>1102</v>
      </c>
      <c r="J511" s="355" t="s">
        <v>517</v>
      </c>
      <c r="Q511" s="355" t="s">
        <v>1098</v>
      </c>
    </row>
    <row r="512" spans="1:17" ht="21.75" customHeight="1" x14ac:dyDescent="0.4">
      <c r="A512" s="355"/>
      <c r="B512" s="353"/>
      <c r="D512" s="355" t="s">
        <v>1063</v>
      </c>
    </row>
    <row r="513" spans="1:5" ht="21.75" customHeight="1" x14ac:dyDescent="0.4">
      <c r="A513" s="355"/>
      <c r="B513" s="353"/>
      <c r="E513" s="355" t="s">
        <v>1103</v>
      </c>
    </row>
    <row r="514" spans="1:5" ht="21.75" customHeight="1" x14ac:dyDescent="0.4">
      <c r="A514" s="355"/>
      <c r="B514" s="353"/>
      <c r="E514" s="355" t="s">
        <v>1104</v>
      </c>
    </row>
    <row r="515" spans="1:5" ht="21.75" customHeight="1" x14ac:dyDescent="0.4">
      <c r="A515" s="355"/>
      <c r="B515" s="353"/>
      <c r="E515" s="355" t="s">
        <v>1105</v>
      </c>
    </row>
    <row r="516" spans="1:5" ht="21.75" customHeight="1" x14ac:dyDescent="0.4">
      <c r="A516" s="355"/>
      <c r="B516" s="353"/>
      <c r="E516" s="355" t="s">
        <v>1106</v>
      </c>
    </row>
    <row r="517" spans="1:5" ht="21.75" customHeight="1" x14ac:dyDescent="0.4">
      <c r="A517" s="355"/>
      <c r="B517" s="353"/>
      <c r="E517" s="355" t="s">
        <v>1107</v>
      </c>
    </row>
    <row r="518" spans="1:5" ht="21.75" customHeight="1" x14ac:dyDescent="0.4">
      <c r="A518" s="355"/>
      <c r="B518" s="353"/>
      <c r="E518" s="355" t="s">
        <v>1108</v>
      </c>
    </row>
    <row r="519" spans="1:5" ht="21.75" customHeight="1" x14ac:dyDescent="0.4">
      <c r="A519" s="355"/>
      <c r="B519" s="353"/>
      <c r="D519" s="355" t="s">
        <v>1109</v>
      </c>
    </row>
    <row r="520" spans="1:5" ht="21.75" customHeight="1" x14ac:dyDescent="0.4">
      <c r="A520" s="355"/>
      <c r="B520" s="353"/>
      <c r="E520" s="355" t="s">
        <v>1110</v>
      </c>
    </row>
    <row r="521" spans="1:5" ht="21.75" customHeight="1" x14ac:dyDescent="0.4">
      <c r="A521" s="355"/>
      <c r="B521" s="353"/>
      <c r="D521" s="355" t="s">
        <v>1064</v>
      </c>
    </row>
    <row r="522" spans="1:5" ht="21.75" customHeight="1" x14ac:dyDescent="0.4">
      <c r="A522" s="355"/>
      <c r="B522" s="353"/>
      <c r="D522" s="355" t="s">
        <v>22</v>
      </c>
    </row>
    <row r="523" spans="1:5" ht="21.75" customHeight="1" x14ac:dyDescent="0.4">
      <c r="A523" s="355"/>
      <c r="B523" s="353"/>
    </row>
    <row r="524" spans="1:5" ht="21.75" customHeight="1" x14ac:dyDescent="0.4">
      <c r="A524" s="355"/>
      <c r="B524" s="446" t="s">
        <v>761</v>
      </c>
    </row>
    <row r="525" spans="1:5" ht="21.75" customHeight="1" x14ac:dyDescent="0.4">
      <c r="A525" s="355"/>
      <c r="B525" s="355"/>
      <c r="C525" s="355" t="s">
        <v>1065</v>
      </c>
    </row>
    <row r="526" spans="1:5" ht="21.75" customHeight="1" x14ac:dyDescent="0.4">
      <c r="A526" s="355"/>
      <c r="B526" s="355"/>
      <c r="C526" s="355" t="s">
        <v>23</v>
      </c>
    </row>
    <row r="527" spans="1:5" ht="21.75" customHeight="1" x14ac:dyDescent="0.4">
      <c r="A527" s="355"/>
      <c r="B527" s="355"/>
      <c r="C527" s="355" t="s">
        <v>320</v>
      </c>
    </row>
    <row r="528" spans="1:5" ht="21.75" customHeight="1" x14ac:dyDescent="0.4">
      <c r="A528" s="355"/>
      <c r="B528" s="355"/>
      <c r="C528" s="355" t="s">
        <v>1066</v>
      </c>
    </row>
    <row r="529" spans="1:13" ht="21.75" customHeight="1" x14ac:dyDescent="0.4">
      <c r="A529" s="355"/>
      <c r="B529" s="355"/>
      <c r="C529" s="355" t="s">
        <v>1115</v>
      </c>
    </row>
    <row r="530" spans="1:13" ht="21.75" customHeight="1" x14ac:dyDescent="0.4">
      <c r="A530" s="355"/>
      <c r="B530" s="355"/>
      <c r="C530" s="355" t="s">
        <v>1111</v>
      </c>
    </row>
    <row r="531" spans="1:13" ht="21.75" customHeight="1" x14ac:dyDescent="0.4">
      <c r="A531" s="355"/>
      <c r="B531" s="355"/>
      <c r="C531" s="355" t="s">
        <v>1112</v>
      </c>
    </row>
    <row r="532" spans="1:13" ht="21.75" customHeight="1" x14ac:dyDescent="0.4">
      <c r="A532" s="355"/>
      <c r="B532" s="355"/>
    </row>
    <row r="533" spans="1:13" ht="21.75" customHeight="1" x14ac:dyDescent="0.4">
      <c r="A533" s="355"/>
      <c r="B533" s="355"/>
    </row>
    <row r="534" spans="1:13" ht="21.75" customHeight="1" x14ac:dyDescent="0.4">
      <c r="A534" s="355"/>
      <c r="B534" s="355"/>
    </row>
    <row r="535" spans="1:13" ht="21.75" customHeight="1" x14ac:dyDescent="0.4">
      <c r="A535" s="355"/>
      <c r="B535" s="355"/>
    </row>
    <row r="536" spans="1:13" ht="21.75" customHeight="1" x14ac:dyDescent="0.4">
      <c r="A536" s="355"/>
      <c r="B536" s="355"/>
    </row>
    <row r="537" spans="1:13" ht="21.75" customHeight="1" x14ac:dyDescent="0.4">
      <c r="A537" s="355"/>
      <c r="B537" s="355"/>
    </row>
    <row r="538" spans="1:13" ht="21.75" customHeight="1" x14ac:dyDescent="0.4">
      <c r="A538" s="355"/>
      <c r="B538" s="355"/>
    </row>
    <row r="539" spans="1:13" ht="21.75" customHeight="1" x14ac:dyDescent="0.4">
      <c r="A539" s="355"/>
      <c r="B539" s="355"/>
    </row>
    <row r="540" spans="1:13" ht="21.75" customHeight="1" x14ac:dyDescent="0.4">
      <c r="A540" s="355"/>
      <c r="B540" s="355"/>
    </row>
    <row r="541" spans="1:13" ht="21.75" customHeight="1" x14ac:dyDescent="0.4">
      <c r="A541" s="355"/>
      <c r="B541" s="355"/>
    </row>
    <row r="542" spans="1:13" ht="21.75" customHeight="1" x14ac:dyDescent="0.4">
      <c r="A542" s="355"/>
      <c r="B542" s="362"/>
      <c r="D542" s="354"/>
    </row>
    <row r="543" spans="1:13" ht="21.75" customHeight="1" x14ac:dyDescent="0.4">
      <c r="A543" s="355"/>
      <c r="B543" s="362"/>
      <c r="D543" s="354"/>
      <c r="M543" s="355" t="s">
        <v>911</v>
      </c>
    </row>
    <row r="544" spans="1:13" ht="21.75" customHeight="1" x14ac:dyDescent="0.4">
      <c r="A544" s="355"/>
      <c r="B544" s="362"/>
      <c r="D544" s="354"/>
      <c r="M544" s="355" t="s">
        <v>912</v>
      </c>
    </row>
    <row r="545" spans="1:13" ht="21.75" customHeight="1" x14ac:dyDescent="0.4">
      <c r="A545" s="355"/>
      <c r="B545" s="362"/>
      <c r="D545" s="354"/>
      <c r="M545" s="355" t="s">
        <v>913</v>
      </c>
    </row>
    <row r="546" spans="1:13" ht="21.75" customHeight="1" x14ac:dyDescent="0.4">
      <c r="A546" s="355"/>
      <c r="B546" s="362"/>
      <c r="D546" s="354"/>
      <c r="M546" s="355" t="s">
        <v>291</v>
      </c>
    </row>
    <row r="547" spans="1:13" ht="21.75" customHeight="1" x14ac:dyDescent="0.4">
      <c r="A547" s="355"/>
      <c r="B547" s="362"/>
      <c r="D547" s="354"/>
      <c r="M547" s="355" t="s">
        <v>914</v>
      </c>
    </row>
    <row r="548" spans="1:13" ht="21.75" customHeight="1" x14ac:dyDescent="0.4">
      <c r="A548" s="355"/>
      <c r="B548" s="362"/>
      <c r="D548" s="354"/>
      <c r="M548" s="355" t="s">
        <v>292</v>
      </c>
    </row>
    <row r="549" spans="1:13" ht="21.75" customHeight="1" x14ac:dyDescent="0.4">
      <c r="A549" s="355"/>
      <c r="B549" s="362"/>
      <c r="D549" s="354"/>
      <c r="M549" s="355" t="s">
        <v>915</v>
      </c>
    </row>
    <row r="550" spans="1:13" ht="21.75" customHeight="1" x14ac:dyDescent="0.4">
      <c r="A550" s="355"/>
      <c r="B550" s="362"/>
      <c r="D550" s="354"/>
      <c r="M550" s="355" t="s">
        <v>293</v>
      </c>
    </row>
    <row r="551" spans="1:13" ht="21.75" customHeight="1" x14ac:dyDescent="0.4">
      <c r="A551" s="355"/>
      <c r="B551" s="362"/>
      <c r="D551" s="354"/>
      <c r="M551" s="355" t="s">
        <v>916</v>
      </c>
    </row>
    <row r="552" spans="1:13" ht="21.75" customHeight="1" x14ac:dyDescent="0.4">
      <c r="A552" s="355"/>
      <c r="B552" s="362"/>
      <c r="D552" s="354"/>
      <c r="M552" s="355" t="s">
        <v>917</v>
      </c>
    </row>
    <row r="553" spans="1:13" ht="21.75" customHeight="1" x14ac:dyDescent="0.4">
      <c r="A553" s="355"/>
      <c r="B553" s="362"/>
      <c r="D553" s="354"/>
    </row>
    <row r="554" spans="1:13" ht="21.75" customHeight="1" x14ac:dyDescent="0.4">
      <c r="A554" s="355"/>
      <c r="B554" s="362"/>
      <c r="D554" s="354"/>
    </row>
    <row r="555" spans="1:13" ht="21.75" customHeight="1" x14ac:dyDescent="0.4">
      <c r="A555" s="355"/>
      <c r="B555" s="362"/>
      <c r="D555" s="354"/>
    </row>
    <row r="556" spans="1:13" ht="21.75" customHeight="1" x14ac:dyDescent="0.4">
      <c r="A556" s="355"/>
      <c r="B556" s="362"/>
      <c r="D556" s="354"/>
    </row>
    <row r="557" spans="1:13" ht="21.75" customHeight="1" x14ac:dyDescent="0.4">
      <c r="A557" s="355"/>
      <c r="B557" s="362"/>
      <c r="D557" s="354"/>
    </row>
    <row r="558" spans="1:13" ht="21.75" customHeight="1" x14ac:dyDescent="0.4">
      <c r="A558" s="355"/>
      <c r="B558" s="362"/>
      <c r="D558" s="354"/>
      <c r="M558" s="355" t="s">
        <v>918</v>
      </c>
    </row>
    <row r="559" spans="1:13" ht="21.75" customHeight="1" x14ac:dyDescent="0.4">
      <c r="A559" s="355"/>
      <c r="B559" s="362"/>
      <c r="D559" s="354"/>
      <c r="M559" s="355" t="s">
        <v>919</v>
      </c>
    </row>
    <row r="560" spans="1:13" ht="21.75" customHeight="1" x14ac:dyDescent="0.4">
      <c r="A560" s="355"/>
      <c r="B560" s="362"/>
      <c r="D560" s="354"/>
      <c r="M560" s="355" t="s">
        <v>920</v>
      </c>
    </row>
    <row r="561" spans="1:13" ht="21.75" customHeight="1" x14ac:dyDescent="0.4">
      <c r="A561" s="355"/>
      <c r="B561" s="362"/>
      <c r="D561" s="354"/>
      <c r="M561" s="355" t="s">
        <v>921</v>
      </c>
    </row>
    <row r="562" spans="1:13" ht="21.75" customHeight="1" x14ac:dyDescent="0.4">
      <c r="A562" s="355"/>
      <c r="B562" s="362"/>
      <c r="D562" s="354"/>
      <c r="M562" s="355" t="s">
        <v>922</v>
      </c>
    </row>
    <row r="563" spans="1:13" ht="21.75" customHeight="1" x14ac:dyDescent="0.4">
      <c r="A563" s="355"/>
      <c r="B563" s="362"/>
      <c r="D563" s="354"/>
      <c r="M563" s="355" t="s">
        <v>923</v>
      </c>
    </row>
    <row r="564" spans="1:13" ht="21.75" customHeight="1" x14ac:dyDescent="0.4">
      <c r="A564" s="355"/>
      <c r="B564" s="362"/>
      <c r="D564" s="354"/>
      <c r="M564" s="355" t="s">
        <v>924</v>
      </c>
    </row>
    <row r="565" spans="1:13" ht="21.75" customHeight="1" x14ac:dyDescent="0.4">
      <c r="A565" s="355"/>
      <c r="B565" s="362"/>
      <c r="D565" s="354"/>
      <c r="M565" s="355" t="s">
        <v>1114</v>
      </c>
    </row>
    <row r="566" spans="1:13" ht="21.75" customHeight="1" x14ac:dyDescent="0.4">
      <c r="A566" s="355"/>
      <c r="B566" s="362"/>
      <c r="D566" s="354"/>
    </row>
    <row r="567" spans="1:13" ht="21.75" customHeight="1" x14ac:dyDescent="0.4">
      <c r="A567" s="355"/>
      <c r="B567" s="362"/>
      <c r="D567" s="354"/>
    </row>
    <row r="568" spans="1:13" ht="21.75" customHeight="1" x14ac:dyDescent="0.4">
      <c r="A568" s="355"/>
      <c r="B568" s="362"/>
      <c r="D568" s="354"/>
    </row>
    <row r="569" spans="1:13" ht="21.75" customHeight="1" x14ac:dyDescent="0.4">
      <c r="A569" s="355"/>
      <c r="B569" s="362"/>
      <c r="D569" s="354"/>
    </row>
    <row r="570" spans="1:13" ht="21.75" customHeight="1" x14ac:dyDescent="0.4">
      <c r="A570" s="355"/>
      <c r="B570" s="355"/>
    </row>
    <row r="571" spans="1:13" ht="21.75" customHeight="1" x14ac:dyDescent="0.4">
      <c r="A571" s="355"/>
      <c r="B571" s="362"/>
      <c r="C571" s="355" t="s">
        <v>925</v>
      </c>
      <c r="D571" s="354"/>
    </row>
    <row r="572" spans="1:13" ht="21.75" customHeight="1" x14ac:dyDescent="0.4">
      <c r="A572" s="355"/>
      <c r="B572" s="362"/>
      <c r="D572" s="368" t="s">
        <v>1113</v>
      </c>
    </row>
    <row r="573" spans="1:13" ht="21.75" customHeight="1" x14ac:dyDescent="0.4">
      <c r="A573" s="355"/>
      <c r="B573" s="362"/>
      <c r="D573" s="354"/>
    </row>
    <row r="574" spans="1:13" ht="21.75" customHeight="1" x14ac:dyDescent="0.4">
      <c r="A574" s="355"/>
      <c r="B574" s="362"/>
      <c r="D574" s="354"/>
    </row>
    <row r="575" spans="1:13" ht="21.75" customHeight="1" x14ac:dyDescent="0.4">
      <c r="A575" s="355"/>
      <c r="B575" s="362"/>
      <c r="D575" s="354"/>
    </row>
    <row r="576" spans="1:13" ht="21.75" customHeight="1" x14ac:dyDescent="0.4">
      <c r="A576" s="355"/>
      <c r="B576" s="362"/>
      <c r="D576" s="354"/>
    </row>
    <row r="577" spans="1:4" ht="21.75" customHeight="1" x14ac:dyDescent="0.4">
      <c r="A577" s="355"/>
      <c r="B577" s="362"/>
      <c r="D577" s="354"/>
    </row>
    <row r="578" spans="1:4" ht="21.75" customHeight="1" x14ac:dyDescent="0.4">
      <c r="A578" s="355"/>
      <c r="B578" s="362"/>
      <c r="D578" s="354"/>
    </row>
    <row r="579" spans="1:4" ht="21.75" customHeight="1" x14ac:dyDescent="0.4">
      <c r="A579" s="355"/>
      <c r="B579" s="362"/>
      <c r="D579" s="354"/>
    </row>
    <row r="580" spans="1:4" ht="21.75" customHeight="1" x14ac:dyDescent="0.4">
      <c r="A580" s="355"/>
      <c r="B580" s="362"/>
      <c r="D580" s="354"/>
    </row>
    <row r="581" spans="1:4" ht="21.75" customHeight="1" x14ac:dyDescent="0.4">
      <c r="A581" s="355"/>
      <c r="B581" s="362"/>
      <c r="D581" s="354"/>
    </row>
    <row r="582" spans="1:4" ht="21.75" customHeight="1" x14ac:dyDescent="0.4">
      <c r="A582" s="355"/>
      <c r="B582" s="362"/>
      <c r="D582" s="354"/>
    </row>
    <row r="583" spans="1:4" ht="21.75" customHeight="1" x14ac:dyDescent="0.4">
      <c r="A583" s="355"/>
      <c r="B583" s="362"/>
      <c r="D583" s="354"/>
    </row>
    <row r="584" spans="1:4" ht="21.75" customHeight="1" x14ac:dyDescent="0.4">
      <c r="A584" s="355"/>
      <c r="B584" s="362"/>
      <c r="D584" s="354"/>
    </row>
    <row r="585" spans="1:4" ht="21.75" customHeight="1" x14ac:dyDescent="0.4">
      <c r="A585" s="355"/>
      <c r="B585" s="362"/>
      <c r="D585" s="354"/>
    </row>
    <row r="586" spans="1:4" ht="21.75" customHeight="1" x14ac:dyDescent="0.4">
      <c r="A586" s="355"/>
      <c r="B586" s="362"/>
      <c r="D586" s="354"/>
    </row>
    <row r="587" spans="1:4" ht="21.75" customHeight="1" x14ac:dyDescent="0.4">
      <c r="A587" s="355"/>
      <c r="B587" s="362"/>
      <c r="D587" s="354"/>
    </row>
    <row r="588" spans="1:4" ht="21.75" customHeight="1" x14ac:dyDescent="0.4">
      <c r="A588" s="355"/>
      <c r="B588" s="362"/>
      <c r="D588" s="354"/>
    </row>
    <row r="589" spans="1:4" ht="21.75" customHeight="1" x14ac:dyDescent="0.4">
      <c r="A589" s="355"/>
      <c r="B589" s="362"/>
      <c r="D589" s="354"/>
    </row>
    <row r="590" spans="1:4" ht="21.75" customHeight="1" x14ac:dyDescent="0.4">
      <c r="A590" s="355"/>
      <c r="B590" s="362"/>
      <c r="D590" s="354"/>
    </row>
    <row r="591" spans="1:4" ht="21.75" customHeight="1" x14ac:dyDescent="0.4">
      <c r="A591" s="355"/>
      <c r="B591" s="362"/>
      <c r="D591" s="354"/>
    </row>
    <row r="592" spans="1:4" ht="21.75" customHeight="1" x14ac:dyDescent="0.4">
      <c r="A592" s="355"/>
      <c r="B592" s="362"/>
      <c r="D592" s="354"/>
    </row>
    <row r="593" spans="1:4" ht="21.75" customHeight="1" x14ac:dyDescent="0.4">
      <c r="A593" s="355"/>
      <c r="B593" s="362"/>
      <c r="D593" s="354"/>
    </row>
    <row r="594" spans="1:4" ht="21.75" customHeight="1" x14ac:dyDescent="0.4">
      <c r="A594" s="355"/>
      <c r="B594" s="362"/>
      <c r="D594" s="354"/>
    </row>
    <row r="595" spans="1:4" ht="21.75" customHeight="1" x14ac:dyDescent="0.4">
      <c r="A595" s="355"/>
      <c r="B595" s="362"/>
      <c r="D595" s="354"/>
    </row>
    <row r="596" spans="1:4" ht="21.75" customHeight="1" x14ac:dyDescent="0.4">
      <c r="A596" s="355"/>
      <c r="B596" s="362"/>
      <c r="D596" s="354"/>
    </row>
    <row r="597" spans="1:4" ht="21.75" customHeight="1" x14ac:dyDescent="0.4">
      <c r="A597" s="355"/>
      <c r="B597" s="362"/>
      <c r="D597" s="354"/>
    </row>
    <row r="598" spans="1:4" ht="21.75" customHeight="1" x14ac:dyDescent="0.4">
      <c r="A598" s="355"/>
      <c r="B598" s="362"/>
      <c r="D598" s="354"/>
    </row>
    <row r="599" spans="1:4" ht="21.75" customHeight="1" x14ac:dyDescent="0.4">
      <c r="A599" s="355"/>
      <c r="B599" s="362"/>
      <c r="D599" s="354"/>
    </row>
    <row r="600" spans="1:4" ht="21.75" customHeight="1" x14ac:dyDescent="0.4">
      <c r="A600" s="355"/>
      <c r="B600" s="362"/>
      <c r="D600" s="354"/>
    </row>
    <row r="601" spans="1:4" ht="21.75" customHeight="1" x14ac:dyDescent="0.4">
      <c r="A601" s="355"/>
      <c r="B601" s="362"/>
      <c r="D601" s="354"/>
    </row>
    <row r="602" spans="1:4" ht="21.75" customHeight="1" x14ac:dyDescent="0.4">
      <c r="A602" s="355"/>
      <c r="B602" s="362"/>
      <c r="D602" s="354"/>
    </row>
    <row r="603" spans="1:4" ht="21.75" customHeight="1" x14ac:dyDescent="0.4">
      <c r="A603" s="355"/>
      <c r="B603" s="362"/>
      <c r="D603" s="354"/>
    </row>
    <row r="604" spans="1:4" ht="21.75" customHeight="1" x14ac:dyDescent="0.4">
      <c r="A604" s="355"/>
      <c r="B604" s="362"/>
      <c r="D604" s="354"/>
    </row>
    <row r="605" spans="1:4" ht="21.75" customHeight="1" x14ac:dyDescent="0.4">
      <c r="A605" s="355"/>
      <c r="B605" s="362"/>
      <c r="D605" s="354"/>
    </row>
    <row r="606" spans="1:4" ht="21.75" customHeight="1" x14ac:dyDescent="0.4">
      <c r="A606" s="355"/>
      <c r="B606" s="362"/>
      <c r="D606" s="354"/>
    </row>
    <row r="607" spans="1:4" ht="21.75" customHeight="1" x14ac:dyDescent="0.4">
      <c r="A607" s="355"/>
      <c r="B607" s="362"/>
      <c r="D607" s="354"/>
    </row>
    <row r="608" spans="1:4" ht="21.75" customHeight="1" x14ac:dyDescent="0.4">
      <c r="A608" s="355"/>
      <c r="B608" s="362"/>
      <c r="C608" s="355" t="s">
        <v>926</v>
      </c>
      <c r="D608" s="354"/>
    </row>
    <row r="609" spans="1:13" ht="21.75" customHeight="1" x14ac:dyDescent="0.4">
      <c r="A609" s="355"/>
      <c r="B609" s="362"/>
      <c r="D609" s="368" t="str">
        <f>D572</f>
        <v>ขนาด ๒ แรงม้า (๑.๕ กิโลวัตต์) ใช้กับกระแสไฟฟ้า ๑ เฟส ๒๒๐ โวลท์ ๕๐ เฮิร์ท</v>
      </c>
    </row>
    <row r="610" spans="1:13" ht="21.75" customHeight="1" x14ac:dyDescent="0.4">
      <c r="A610" s="355"/>
      <c r="B610" s="362"/>
      <c r="D610" s="368"/>
    </row>
    <row r="611" spans="1:13" ht="21.75" customHeight="1" x14ac:dyDescent="0.4">
      <c r="A611" s="355"/>
      <c r="B611" s="362"/>
      <c r="D611" s="368"/>
    </row>
    <row r="612" spans="1:13" ht="21.75" customHeight="1" x14ac:dyDescent="0.4">
      <c r="A612" s="355"/>
      <c r="B612" s="454">
        <v>3.1</v>
      </c>
      <c r="C612" s="353" t="s">
        <v>1609</v>
      </c>
    </row>
    <row r="613" spans="1:13" ht="21.75" customHeight="1" x14ac:dyDescent="0.4">
      <c r="A613" s="355"/>
      <c r="B613" s="362"/>
      <c r="C613" s="355" t="s">
        <v>1138</v>
      </c>
    </row>
    <row r="614" spans="1:13" ht="21.75" customHeight="1" x14ac:dyDescent="0.4">
      <c r="A614" s="355"/>
      <c r="B614" s="362"/>
      <c r="C614" s="355" t="s">
        <v>1610</v>
      </c>
    </row>
    <row r="615" spans="1:13" ht="21.75" customHeight="1" x14ac:dyDescent="0.4">
      <c r="A615" s="355"/>
      <c r="B615" s="362"/>
      <c r="C615" s="355" t="s">
        <v>1139</v>
      </c>
    </row>
    <row r="616" spans="1:13" ht="21.75" customHeight="1" x14ac:dyDescent="0.4">
      <c r="A616" s="355"/>
      <c r="B616" s="370">
        <v>3.11</v>
      </c>
      <c r="C616" s="353" t="s">
        <v>1658</v>
      </c>
      <c r="M616" s="355" t="s">
        <v>635</v>
      </c>
    </row>
    <row r="617" spans="1:13" ht="21.75" customHeight="1" x14ac:dyDescent="0.4">
      <c r="A617" s="355"/>
      <c r="B617" s="362"/>
      <c r="C617" s="355" t="s">
        <v>1140</v>
      </c>
    </row>
    <row r="618" spans="1:13" ht="21.75" customHeight="1" x14ac:dyDescent="0.4">
      <c r="A618" s="355"/>
      <c r="B618" s="362"/>
      <c r="C618" s="355" t="s">
        <v>1660</v>
      </c>
    </row>
    <row r="619" spans="1:13" ht="21.75" customHeight="1" x14ac:dyDescent="0.4">
      <c r="A619" s="355"/>
      <c r="B619" s="362"/>
      <c r="C619" s="355" t="s">
        <v>1659</v>
      </c>
    </row>
    <row r="620" spans="1:13" ht="21.75" customHeight="1" x14ac:dyDescent="0.4">
      <c r="A620" s="355"/>
      <c r="B620" s="370">
        <v>3.12</v>
      </c>
      <c r="C620" s="353" t="s">
        <v>1484</v>
      </c>
    </row>
    <row r="621" spans="1:13" ht="21.75" customHeight="1" x14ac:dyDescent="0.4">
      <c r="A621" s="355"/>
      <c r="B621" s="362"/>
      <c r="C621" s="355" t="s">
        <v>1485</v>
      </c>
      <c r="I621" s="355" t="str">
        <f>Q161</f>
        <v>อบต.ตะกุกใต้</v>
      </c>
      <c r="M621" s="355" t="s">
        <v>111</v>
      </c>
    </row>
    <row r="622" spans="1:13" ht="21.75" customHeight="1" x14ac:dyDescent="0.4">
      <c r="A622" s="355"/>
      <c r="B622" s="362"/>
      <c r="C622" s="355" t="s">
        <v>112</v>
      </c>
    </row>
    <row r="623" spans="1:13" ht="21.75" customHeight="1" x14ac:dyDescent="0.4">
      <c r="A623" s="355"/>
      <c r="B623" s="362"/>
      <c r="C623" s="355" t="s">
        <v>1141</v>
      </c>
    </row>
    <row r="624" spans="1:13" ht="21.75" customHeight="1" x14ac:dyDescent="0.4">
      <c r="A624" s="355"/>
      <c r="B624" s="362"/>
      <c r="C624" s="353"/>
      <c r="D624" s="355" t="s">
        <v>1142</v>
      </c>
    </row>
    <row r="625" spans="1:6" ht="21.75" customHeight="1" x14ac:dyDescent="0.4">
      <c r="A625" s="355"/>
      <c r="B625" s="362"/>
      <c r="C625" s="355" t="s">
        <v>1488</v>
      </c>
    </row>
    <row r="626" spans="1:6" ht="21.75" customHeight="1" x14ac:dyDescent="0.4">
      <c r="A626" s="355"/>
      <c r="B626" s="362"/>
      <c r="C626" s="355" t="s">
        <v>1489</v>
      </c>
    </row>
    <row r="627" spans="1:6" ht="21.75" customHeight="1" x14ac:dyDescent="0.4">
      <c r="A627" s="355"/>
      <c r="B627" s="362"/>
      <c r="C627" s="355" t="s">
        <v>1490</v>
      </c>
    </row>
    <row r="628" spans="1:6" ht="21.75" customHeight="1" x14ac:dyDescent="0.4">
      <c r="A628" s="355"/>
      <c r="B628" s="362"/>
      <c r="C628" s="353"/>
      <c r="D628" s="355" t="s">
        <v>1509</v>
      </c>
    </row>
    <row r="629" spans="1:6" ht="21.75" customHeight="1" x14ac:dyDescent="0.4">
      <c r="A629" s="355"/>
      <c r="B629" s="362"/>
      <c r="C629" s="353"/>
      <c r="E629" s="355" t="s">
        <v>1528</v>
      </c>
    </row>
    <row r="630" spans="1:6" ht="21.75" customHeight="1" x14ac:dyDescent="0.4">
      <c r="A630" s="355"/>
      <c r="B630" s="362"/>
      <c r="C630" s="353"/>
      <c r="F630" s="355" t="s">
        <v>1491</v>
      </c>
    </row>
    <row r="631" spans="1:6" ht="21.75" customHeight="1" x14ac:dyDescent="0.4">
      <c r="A631" s="355"/>
      <c r="B631" s="362"/>
      <c r="C631" s="353"/>
      <c r="F631" s="355" t="s">
        <v>1492</v>
      </c>
    </row>
    <row r="632" spans="1:6" ht="21.75" customHeight="1" x14ac:dyDescent="0.4">
      <c r="A632" s="355"/>
      <c r="B632" s="362"/>
      <c r="C632" s="353"/>
      <c r="E632" s="355" t="s">
        <v>1493</v>
      </c>
    </row>
    <row r="633" spans="1:6" ht="21.75" customHeight="1" x14ac:dyDescent="0.4">
      <c r="A633" s="355"/>
      <c r="B633" s="362"/>
      <c r="C633" s="353"/>
      <c r="F633" s="355" t="s">
        <v>1494</v>
      </c>
    </row>
    <row r="634" spans="1:6" ht="21.75" customHeight="1" x14ac:dyDescent="0.4">
      <c r="A634" s="355"/>
      <c r="B634" s="362"/>
      <c r="C634" s="353"/>
      <c r="E634" s="355" t="s">
        <v>113</v>
      </c>
    </row>
    <row r="635" spans="1:6" ht="21.75" customHeight="1" x14ac:dyDescent="0.4">
      <c r="A635" s="355"/>
      <c r="B635" s="362"/>
      <c r="C635" s="353"/>
      <c r="F635" s="355" t="s">
        <v>1495</v>
      </c>
    </row>
    <row r="636" spans="1:6" ht="21.75" customHeight="1" x14ac:dyDescent="0.4">
      <c r="A636" s="355"/>
      <c r="B636" s="362"/>
      <c r="C636" s="353"/>
      <c r="F636" s="355" t="s">
        <v>1496</v>
      </c>
    </row>
    <row r="637" spans="1:6" ht="21.75" customHeight="1" x14ac:dyDescent="0.4">
      <c r="A637" s="355"/>
      <c r="B637" s="362"/>
      <c r="C637" s="353"/>
      <c r="E637" s="355" t="s">
        <v>1497</v>
      </c>
    </row>
    <row r="638" spans="1:6" ht="21.75" customHeight="1" x14ac:dyDescent="0.4">
      <c r="A638" s="355"/>
      <c r="B638" s="362"/>
      <c r="C638" s="353"/>
      <c r="F638" s="355" t="s">
        <v>1498</v>
      </c>
    </row>
    <row r="639" spans="1:6" ht="21.75" customHeight="1" x14ac:dyDescent="0.4">
      <c r="A639" s="355"/>
      <c r="B639" s="362"/>
      <c r="C639" s="353"/>
      <c r="F639" s="355" t="s">
        <v>1511</v>
      </c>
    </row>
    <row r="640" spans="1:6" ht="21.75" customHeight="1" x14ac:dyDescent="0.4">
      <c r="A640" s="355"/>
      <c r="B640" s="362"/>
      <c r="C640" s="353"/>
      <c r="F640" s="355" t="s">
        <v>1510</v>
      </c>
    </row>
    <row r="641" spans="1:17" ht="21.75" customHeight="1" x14ac:dyDescent="0.4">
      <c r="A641" s="355"/>
      <c r="B641" s="362"/>
      <c r="C641" s="353"/>
      <c r="D641" s="355" t="s">
        <v>1512</v>
      </c>
    </row>
    <row r="642" spans="1:17" ht="21.75" customHeight="1" x14ac:dyDescent="0.4">
      <c r="A642" s="355"/>
      <c r="B642" s="362"/>
      <c r="C642" s="355" t="s">
        <v>1499</v>
      </c>
    </row>
    <row r="643" spans="1:17" ht="21.75" customHeight="1" x14ac:dyDescent="0.4">
      <c r="A643" s="355"/>
      <c r="B643" s="362"/>
      <c r="C643" s="355" t="s">
        <v>1500</v>
      </c>
    </row>
    <row r="644" spans="1:17" ht="21.75" customHeight="1" x14ac:dyDescent="0.4">
      <c r="A644" s="355"/>
      <c r="B644" s="362"/>
      <c r="C644" s="355" t="s">
        <v>1501</v>
      </c>
    </row>
    <row r="645" spans="1:17" ht="21.75" customHeight="1" x14ac:dyDescent="0.4">
      <c r="A645" s="355"/>
      <c r="B645" s="362"/>
      <c r="C645" s="353"/>
      <c r="D645" s="355" t="s">
        <v>1513</v>
      </c>
    </row>
    <row r="646" spans="1:17" ht="21.75" customHeight="1" x14ac:dyDescent="0.4">
      <c r="A646" s="355"/>
      <c r="B646" s="362"/>
      <c r="C646" s="355" t="s">
        <v>1502</v>
      </c>
    </row>
    <row r="647" spans="1:17" ht="21.75" customHeight="1" x14ac:dyDescent="0.4">
      <c r="A647" s="355"/>
      <c r="B647" s="362"/>
    </row>
    <row r="648" spans="1:17" ht="21.75" customHeight="1" x14ac:dyDescent="0.4">
      <c r="A648" s="355"/>
      <c r="B648" s="362"/>
      <c r="C648" s="355" t="s">
        <v>1503</v>
      </c>
    </row>
    <row r="649" spans="1:17" ht="21.75" customHeight="1" x14ac:dyDescent="0.4">
      <c r="A649" s="355"/>
      <c r="B649" s="362"/>
      <c r="C649" s="355" t="s">
        <v>1504</v>
      </c>
    </row>
    <row r="650" spans="1:17" ht="21.75" customHeight="1" x14ac:dyDescent="0.4">
      <c r="A650" s="355"/>
      <c r="B650" s="362"/>
      <c r="C650" s="355" t="s">
        <v>1505</v>
      </c>
    </row>
    <row r="651" spans="1:17" ht="21.75" customHeight="1" x14ac:dyDescent="0.4">
      <c r="A651" s="355"/>
      <c r="B651" s="362"/>
      <c r="C651" s="353"/>
      <c r="D651" s="355" t="s">
        <v>1514</v>
      </c>
    </row>
    <row r="652" spans="1:17" ht="21.75" customHeight="1" x14ac:dyDescent="0.4">
      <c r="A652" s="355"/>
      <c r="B652" s="362"/>
      <c r="C652" s="355" t="s">
        <v>1506</v>
      </c>
    </row>
    <row r="653" spans="1:17" ht="21.75" customHeight="1" x14ac:dyDescent="0.4">
      <c r="A653" s="355"/>
      <c r="B653" s="362"/>
      <c r="C653" s="355" t="s">
        <v>1507</v>
      </c>
    </row>
    <row r="654" spans="1:17" ht="21.75" customHeight="1" x14ac:dyDescent="0.4">
      <c r="A654" s="355"/>
      <c r="B654" s="362"/>
      <c r="C654" s="355" t="s">
        <v>1515</v>
      </c>
    </row>
    <row r="655" spans="1:17" ht="21.75" customHeight="1" x14ac:dyDescent="0.4">
      <c r="A655" s="355"/>
      <c r="B655" s="362"/>
      <c r="C655" s="355" t="s">
        <v>1516</v>
      </c>
    </row>
    <row r="656" spans="1:17" ht="21.75" customHeight="1" x14ac:dyDescent="0.4">
      <c r="A656" s="355"/>
      <c r="B656" s="362"/>
      <c r="D656" s="355" t="s">
        <v>1143</v>
      </c>
      <c r="P656" s="355">
        <v>1</v>
      </c>
      <c r="Q656" s="355" t="s">
        <v>1517</v>
      </c>
    </row>
    <row r="657" spans="1:19" ht="21.75" customHeight="1" x14ac:dyDescent="0.4">
      <c r="A657" s="355"/>
      <c r="B657" s="362"/>
      <c r="C657" s="355" t="s">
        <v>1518</v>
      </c>
    </row>
    <row r="658" spans="1:19" ht="21.75" customHeight="1" x14ac:dyDescent="0.4">
      <c r="A658" s="355"/>
      <c r="B658" s="362"/>
      <c r="C658" s="355" t="s">
        <v>1508</v>
      </c>
    </row>
    <row r="659" spans="1:19" ht="21.75" customHeight="1" x14ac:dyDescent="0.4">
      <c r="A659" s="355"/>
      <c r="B659" s="362"/>
      <c r="D659" s="355" t="s">
        <v>1520</v>
      </c>
    </row>
    <row r="660" spans="1:19" ht="21.75" customHeight="1" x14ac:dyDescent="0.4">
      <c r="A660" s="355"/>
      <c r="B660" s="362"/>
      <c r="C660" s="355" t="s">
        <v>1519</v>
      </c>
    </row>
    <row r="661" spans="1:19" ht="21.75" customHeight="1" x14ac:dyDescent="0.4">
      <c r="A661" s="355"/>
      <c r="B661" s="362"/>
      <c r="D661" s="355" t="s">
        <v>1523</v>
      </c>
    </row>
    <row r="662" spans="1:19" ht="21.75" customHeight="1" x14ac:dyDescent="0.4">
      <c r="A662" s="355"/>
      <c r="B662" s="362"/>
      <c r="C662" s="355" t="s">
        <v>1522</v>
      </c>
    </row>
    <row r="663" spans="1:19" ht="21.75" customHeight="1" x14ac:dyDescent="0.4">
      <c r="A663" s="355"/>
      <c r="B663" s="362"/>
      <c r="C663" s="355" t="s">
        <v>1521</v>
      </c>
    </row>
    <row r="664" spans="1:19" ht="21.75" customHeight="1" x14ac:dyDescent="0.4">
      <c r="A664" s="355"/>
      <c r="B664" s="362"/>
      <c r="D664" s="355" t="s">
        <v>1525</v>
      </c>
    </row>
    <row r="665" spans="1:19" ht="21.75" customHeight="1" x14ac:dyDescent="0.4">
      <c r="A665" s="355"/>
      <c r="B665" s="362"/>
      <c r="C665" s="355" t="s">
        <v>1524</v>
      </c>
    </row>
    <row r="666" spans="1:19" ht="21.75" customHeight="1" x14ac:dyDescent="0.4">
      <c r="A666" s="355"/>
      <c r="B666" s="362"/>
      <c r="D666" s="355" t="s">
        <v>1527</v>
      </c>
    </row>
    <row r="667" spans="1:19" ht="21.75" customHeight="1" x14ac:dyDescent="0.4">
      <c r="A667" s="355"/>
      <c r="B667" s="362"/>
      <c r="C667" s="355" t="s">
        <v>1526</v>
      </c>
    </row>
    <row r="668" spans="1:19" ht="9" customHeight="1" x14ac:dyDescent="0.4">
      <c r="A668" s="355"/>
      <c r="B668" s="362"/>
    </row>
    <row r="669" spans="1:19" ht="21.75" customHeight="1" x14ac:dyDescent="0.4">
      <c r="A669" s="355"/>
      <c r="B669" s="362"/>
      <c r="E669" s="353" t="s">
        <v>54</v>
      </c>
      <c r="F669" s="353"/>
      <c r="G669" s="353"/>
      <c r="H669" s="353"/>
      <c r="I669" s="353"/>
      <c r="J669" s="353"/>
      <c r="K669" s="353"/>
      <c r="L669" s="353"/>
      <c r="M669" s="353"/>
      <c r="N669" s="353"/>
      <c r="O669" s="353"/>
      <c r="P669" s="353"/>
      <c r="Q669" s="353"/>
      <c r="R669" s="353"/>
      <c r="S669" s="353"/>
    </row>
    <row r="670" spans="1:19" ht="21.75" customHeight="1" x14ac:dyDescent="0.4">
      <c r="A670" s="355"/>
      <c r="B670" s="362"/>
      <c r="E670" s="353" t="s">
        <v>24</v>
      </c>
      <c r="F670" s="353"/>
      <c r="G670" s="353"/>
      <c r="H670" s="353"/>
      <c r="I670" s="353"/>
      <c r="J670" s="353"/>
      <c r="K670" s="353"/>
      <c r="L670" s="353"/>
      <c r="M670" s="353"/>
      <c r="N670" s="353"/>
      <c r="O670" s="353"/>
      <c r="P670" s="353"/>
      <c r="Q670" s="353"/>
      <c r="R670" s="353"/>
      <c r="S670" s="353"/>
    </row>
    <row r="671" spans="1:19" ht="9" customHeight="1" x14ac:dyDescent="0.4">
      <c r="A671" s="355"/>
      <c r="B671" s="362"/>
      <c r="E671" s="353"/>
      <c r="F671" s="353"/>
      <c r="G671" s="353"/>
      <c r="H671" s="353"/>
      <c r="I671" s="353"/>
      <c r="J671" s="353"/>
      <c r="K671" s="353"/>
      <c r="L671" s="353"/>
      <c r="M671" s="353"/>
      <c r="N671" s="353"/>
      <c r="O671" s="353"/>
      <c r="P671" s="353"/>
      <c r="Q671" s="353"/>
      <c r="R671" s="353"/>
      <c r="S671" s="353"/>
    </row>
    <row r="672" spans="1:19" ht="21.75" customHeight="1" x14ac:dyDescent="0.4">
      <c r="A672" s="355"/>
      <c r="B672" s="370">
        <v>3.13</v>
      </c>
      <c r="C672" s="353" t="s">
        <v>731</v>
      </c>
      <c r="H672" s="355" t="s">
        <v>1146</v>
      </c>
    </row>
    <row r="673" spans="1:19" ht="21.75" customHeight="1" x14ac:dyDescent="0.4">
      <c r="A673" s="355"/>
      <c r="B673" s="362"/>
      <c r="C673" s="355" t="s">
        <v>1144</v>
      </c>
    </row>
    <row r="674" spans="1:19" ht="21.75" customHeight="1" x14ac:dyDescent="0.4">
      <c r="A674" s="355"/>
      <c r="B674" s="362"/>
      <c r="C674" s="355" t="s">
        <v>1145</v>
      </c>
    </row>
    <row r="675" spans="1:19" ht="21.75" customHeight="1" x14ac:dyDescent="0.4">
      <c r="A675" s="355"/>
      <c r="B675" s="362"/>
      <c r="C675" s="455">
        <v>1</v>
      </c>
      <c r="D675" s="381" t="s">
        <v>1147</v>
      </c>
      <c r="E675" s="382"/>
      <c r="F675" s="382"/>
      <c r="G675" s="382"/>
      <c r="H675" s="382"/>
      <c r="I675" s="382"/>
      <c r="J675" s="382"/>
      <c r="K675" s="382"/>
      <c r="L675" s="382"/>
      <c r="M675" s="382"/>
      <c r="N675" s="382"/>
      <c r="O675" s="382"/>
      <c r="P675" s="384"/>
      <c r="Q675" s="456" t="s">
        <v>1134</v>
      </c>
      <c r="R675" s="382" t="s">
        <v>717</v>
      </c>
      <c r="S675" s="384"/>
    </row>
    <row r="676" spans="1:19" ht="21.75" customHeight="1" x14ac:dyDescent="0.4">
      <c r="A676" s="355"/>
      <c r="B676" s="362"/>
      <c r="C676" s="457">
        <v>2</v>
      </c>
      <c r="D676" s="386" t="s">
        <v>1148</v>
      </c>
      <c r="P676" s="378"/>
      <c r="Q676" s="458" t="s">
        <v>1135</v>
      </c>
      <c r="R676" s="355" t="s">
        <v>717</v>
      </c>
      <c r="S676" s="378"/>
    </row>
    <row r="677" spans="1:19" ht="21.75" customHeight="1" x14ac:dyDescent="0.4">
      <c r="A677" s="355"/>
      <c r="B677" s="362"/>
      <c r="C677" s="457">
        <v>3</v>
      </c>
      <c r="D677" s="386" t="s">
        <v>1149</v>
      </c>
      <c r="P677" s="378"/>
      <c r="Q677" s="458" t="s">
        <v>1135</v>
      </c>
      <c r="R677" s="355" t="s">
        <v>553</v>
      </c>
      <c r="S677" s="378"/>
    </row>
    <row r="678" spans="1:19" ht="21.75" customHeight="1" x14ac:dyDescent="0.4">
      <c r="A678" s="355"/>
      <c r="B678" s="362"/>
      <c r="C678" s="457">
        <v>4</v>
      </c>
      <c r="D678" s="386" t="s">
        <v>1150</v>
      </c>
      <c r="P678" s="378"/>
      <c r="Q678" s="458" t="s">
        <v>1135</v>
      </c>
      <c r="R678" s="355" t="s">
        <v>717</v>
      </c>
      <c r="S678" s="378"/>
    </row>
    <row r="679" spans="1:19" ht="21.75" customHeight="1" x14ac:dyDescent="0.4">
      <c r="A679" s="355"/>
      <c r="B679" s="362"/>
      <c r="C679" s="457">
        <v>5</v>
      </c>
      <c r="D679" s="386" t="s">
        <v>1151</v>
      </c>
      <c r="P679" s="378"/>
      <c r="Q679" s="458" t="s">
        <v>1135</v>
      </c>
      <c r="R679" s="355" t="s">
        <v>717</v>
      </c>
      <c r="S679" s="378"/>
    </row>
    <row r="680" spans="1:19" ht="21.75" customHeight="1" x14ac:dyDescent="0.4">
      <c r="A680" s="355"/>
      <c r="B680" s="362"/>
      <c r="C680" s="457">
        <v>6</v>
      </c>
      <c r="D680" s="386" t="s">
        <v>1152</v>
      </c>
      <c r="P680" s="378"/>
      <c r="Q680" s="458" t="s">
        <v>1135</v>
      </c>
      <c r="R680" s="355" t="s">
        <v>717</v>
      </c>
      <c r="S680" s="378"/>
    </row>
    <row r="681" spans="1:19" ht="21.75" customHeight="1" x14ac:dyDescent="0.4">
      <c r="A681" s="355"/>
      <c r="B681" s="362"/>
      <c r="C681" s="457">
        <v>7</v>
      </c>
      <c r="D681" s="386" t="s">
        <v>718</v>
      </c>
      <c r="P681" s="378"/>
      <c r="Q681" s="458" t="s">
        <v>1135</v>
      </c>
      <c r="R681" s="355" t="s">
        <v>717</v>
      </c>
      <c r="S681" s="378"/>
    </row>
    <row r="682" spans="1:19" ht="21.75" customHeight="1" x14ac:dyDescent="0.4">
      <c r="A682" s="355"/>
      <c r="B682" s="362"/>
      <c r="C682" s="457">
        <v>8</v>
      </c>
      <c r="D682" s="386" t="s">
        <v>1154</v>
      </c>
      <c r="P682" s="378"/>
      <c r="Q682" s="458" t="s">
        <v>1135</v>
      </c>
      <c r="R682" s="355" t="s">
        <v>719</v>
      </c>
      <c r="S682" s="378"/>
    </row>
    <row r="683" spans="1:19" ht="21.75" customHeight="1" x14ac:dyDescent="0.4">
      <c r="A683" s="355"/>
      <c r="B683" s="362"/>
      <c r="C683" s="1109">
        <v>9</v>
      </c>
      <c r="D683" s="388" t="s">
        <v>1155</v>
      </c>
      <c r="E683" s="389"/>
      <c r="F683" s="389"/>
      <c r="G683" s="389"/>
      <c r="H683" s="389"/>
      <c r="I683" s="389"/>
      <c r="J683" s="389"/>
      <c r="K683" s="389"/>
      <c r="L683" s="389"/>
      <c r="M683" s="389"/>
      <c r="N683" s="389"/>
      <c r="O683" s="389"/>
      <c r="P683" s="390"/>
      <c r="Q683" s="460" t="s">
        <v>1135</v>
      </c>
      <c r="R683" s="389" t="s">
        <v>719</v>
      </c>
      <c r="S683" s="390"/>
    </row>
    <row r="684" spans="1:19" ht="21.75" customHeight="1" x14ac:dyDescent="0.4">
      <c r="A684" s="355"/>
      <c r="B684" s="362"/>
      <c r="C684" s="455">
        <v>10</v>
      </c>
      <c r="D684" s="381" t="s">
        <v>1156</v>
      </c>
      <c r="E684" s="382"/>
      <c r="F684" s="382"/>
      <c r="G684" s="382"/>
      <c r="H684" s="382"/>
      <c r="I684" s="382"/>
      <c r="J684" s="382"/>
      <c r="K684" s="382"/>
      <c r="L684" s="382"/>
      <c r="M684" s="382"/>
      <c r="N684" s="382"/>
      <c r="O684" s="382"/>
      <c r="P684" s="384"/>
      <c r="Q684" s="456" t="s">
        <v>1135</v>
      </c>
      <c r="R684" s="382" t="s">
        <v>5</v>
      </c>
      <c r="S684" s="384"/>
    </row>
    <row r="685" spans="1:19" ht="21.75" customHeight="1" x14ac:dyDescent="0.4">
      <c r="A685" s="355"/>
      <c r="B685" s="362"/>
      <c r="C685" s="457"/>
      <c r="D685" s="386" t="s">
        <v>1157</v>
      </c>
      <c r="P685" s="378"/>
      <c r="Q685" s="458"/>
      <c r="S685" s="378"/>
    </row>
    <row r="686" spans="1:19" ht="21.75" customHeight="1" x14ac:dyDescent="0.4">
      <c r="A686" s="355"/>
      <c r="B686" s="362"/>
      <c r="C686" s="457"/>
      <c r="D686" s="386" t="s">
        <v>1158</v>
      </c>
      <c r="P686" s="378"/>
      <c r="Q686" s="458"/>
      <c r="S686" s="378"/>
    </row>
    <row r="687" spans="1:19" ht="21.75" customHeight="1" x14ac:dyDescent="0.4">
      <c r="A687" s="355"/>
      <c r="B687" s="362"/>
      <c r="C687" s="457">
        <v>11</v>
      </c>
      <c r="D687" s="386" t="s">
        <v>1159</v>
      </c>
      <c r="P687" s="378"/>
      <c r="Q687" s="458" t="s">
        <v>1135</v>
      </c>
      <c r="R687" s="355" t="s">
        <v>717</v>
      </c>
      <c r="S687" s="378"/>
    </row>
    <row r="688" spans="1:19" ht="21.75" customHeight="1" x14ac:dyDescent="0.4">
      <c r="A688" s="355"/>
      <c r="B688" s="362"/>
      <c r="C688" s="457"/>
      <c r="D688" s="386" t="s">
        <v>6</v>
      </c>
      <c r="P688" s="378"/>
      <c r="Q688" s="458"/>
      <c r="S688" s="378"/>
    </row>
    <row r="689" spans="1:19" ht="21.75" customHeight="1" x14ac:dyDescent="0.4">
      <c r="A689" s="355"/>
      <c r="B689" s="362"/>
      <c r="C689" s="459"/>
      <c r="D689" s="388" t="s">
        <v>1160</v>
      </c>
      <c r="E689" s="389"/>
      <c r="F689" s="389"/>
      <c r="G689" s="389"/>
      <c r="H689" s="389"/>
      <c r="I689" s="389"/>
      <c r="J689" s="389"/>
      <c r="K689" s="389"/>
      <c r="L689" s="389"/>
      <c r="M689" s="389"/>
      <c r="N689" s="389"/>
      <c r="O689" s="389"/>
      <c r="P689" s="390"/>
      <c r="Q689" s="460"/>
      <c r="R689" s="389"/>
      <c r="S689" s="390"/>
    </row>
    <row r="690" spans="1:19" ht="21.75" customHeight="1" x14ac:dyDescent="0.4">
      <c r="A690" s="355"/>
      <c r="B690" s="362"/>
    </row>
    <row r="691" spans="1:19" ht="21.75" customHeight="1" x14ac:dyDescent="0.4">
      <c r="A691" s="355"/>
      <c r="B691" s="353" t="s">
        <v>1161</v>
      </c>
    </row>
    <row r="692" spans="1:19" ht="21.75" customHeight="1" x14ac:dyDescent="0.4">
      <c r="A692" s="355"/>
      <c r="B692" s="353"/>
      <c r="C692" s="353" t="s">
        <v>1162</v>
      </c>
      <c r="M692" s="355" t="s">
        <v>184</v>
      </c>
    </row>
    <row r="693" spans="1:19" ht="21.75" customHeight="1" x14ac:dyDescent="0.4">
      <c r="A693" s="355"/>
      <c r="B693" s="362"/>
      <c r="C693" s="355" t="s">
        <v>1163</v>
      </c>
    </row>
    <row r="694" spans="1:19" ht="21.75" customHeight="1" x14ac:dyDescent="0.4">
      <c r="A694" s="355"/>
      <c r="B694" s="362"/>
      <c r="C694" s="355" t="s">
        <v>246</v>
      </c>
    </row>
    <row r="695" spans="1:19" ht="21.75" customHeight="1" x14ac:dyDescent="0.4">
      <c r="A695" s="355"/>
      <c r="B695" s="362"/>
      <c r="C695" s="355" t="s">
        <v>245</v>
      </c>
    </row>
    <row r="696" spans="1:19" ht="21.75" customHeight="1" x14ac:dyDescent="0.4">
      <c r="A696" s="355"/>
      <c r="C696" s="353"/>
      <c r="D696" s="355" t="s">
        <v>1164</v>
      </c>
    </row>
    <row r="697" spans="1:19" ht="21.75" customHeight="1" x14ac:dyDescent="0.4">
      <c r="A697" s="355"/>
      <c r="C697" s="353"/>
      <c r="D697" s="355" t="s">
        <v>1165</v>
      </c>
    </row>
    <row r="698" spans="1:19" ht="21.75" customHeight="1" x14ac:dyDescent="0.4">
      <c r="A698" s="355"/>
      <c r="E698" s="355" t="s">
        <v>186</v>
      </c>
    </row>
    <row r="699" spans="1:19" ht="21.75" customHeight="1" x14ac:dyDescent="0.4">
      <c r="A699" s="355"/>
      <c r="D699" s="355" t="s">
        <v>1166</v>
      </c>
    </row>
    <row r="700" spans="1:19" ht="21.75" customHeight="1" x14ac:dyDescent="0.4">
      <c r="A700" s="355"/>
      <c r="E700" s="355" t="s">
        <v>187</v>
      </c>
    </row>
    <row r="701" spans="1:19" ht="21.75" customHeight="1" x14ac:dyDescent="0.4">
      <c r="A701" s="355"/>
      <c r="D701" s="355" t="s">
        <v>1167</v>
      </c>
    </row>
    <row r="702" spans="1:19" ht="21.75" customHeight="1" x14ac:dyDescent="0.4">
      <c r="A702" s="355"/>
      <c r="D702" s="355" t="s">
        <v>1180</v>
      </c>
    </row>
    <row r="703" spans="1:19" ht="21.75" customHeight="1" x14ac:dyDescent="0.4">
      <c r="A703" s="355"/>
      <c r="E703" s="355" t="s">
        <v>1179</v>
      </c>
    </row>
    <row r="704" spans="1:19" ht="21.75" customHeight="1" x14ac:dyDescent="0.4">
      <c r="A704" s="355"/>
      <c r="D704" s="355" t="s">
        <v>1169</v>
      </c>
    </row>
    <row r="705" spans="1:12" ht="21.75" customHeight="1" x14ac:dyDescent="0.4">
      <c r="A705" s="355"/>
      <c r="D705" s="355" t="s">
        <v>1168</v>
      </c>
    </row>
    <row r="706" spans="1:12" ht="21.75" customHeight="1" x14ac:dyDescent="0.4">
      <c r="B706" s="353"/>
      <c r="C706" s="353" t="s">
        <v>1170</v>
      </c>
      <c r="L706" s="355" t="s">
        <v>188</v>
      </c>
    </row>
    <row r="707" spans="1:12" ht="21.75" customHeight="1" x14ac:dyDescent="0.4">
      <c r="B707" s="362"/>
      <c r="C707" s="355" t="s">
        <v>1171</v>
      </c>
    </row>
    <row r="708" spans="1:12" ht="21.75" customHeight="1" x14ac:dyDescent="0.4">
      <c r="B708" s="362"/>
      <c r="C708" s="355" t="s">
        <v>189</v>
      </c>
    </row>
    <row r="709" spans="1:12" ht="21.75" customHeight="1" x14ac:dyDescent="0.4">
      <c r="B709" s="362"/>
      <c r="C709" s="355" t="s">
        <v>185</v>
      </c>
    </row>
    <row r="710" spans="1:12" ht="21.75" customHeight="1" x14ac:dyDescent="0.4">
      <c r="B710" s="362"/>
      <c r="D710" s="355" t="s">
        <v>1172</v>
      </c>
    </row>
    <row r="711" spans="1:12" ht="21.75" customHeight="1" x14ac:dyDescent="0.4">
      <c r="B711" s="362"/>
      <c r="D711" s="355" t="s">
        <v>1174</v>
      </c>
    </row>
    <row r="712" spans="1:12" ht="21.75" customHeight="1" x14ac:dyDescent="0.4">
      <c r="B712" s="362"/>
      <c r="E712" s="355" t="s">
        <v>186</v>
      </c>
    </row>
    <row r="713" spans="1:12" ht="21.75" customHeight="1" x14ac:dyDescent="0.4">
      <c r="B713" s="362"/>
      <c r="D713" s="355" t="s">
        <v>1173</v>
      </c>
    </row>
    <row r="714" spans="1:12" ht="21.75" customHeight="1" x14ac:dyDescent="0.4">
      <c r="B714" s="362"/>
      <c r="E714" s="355" t="s">
        <v>190</v>
      </c>
    </row>
    <row r="715" spans="1:12" ht="21.75" customHeight="1" x14ac:dyDescent="0.4">
      <c r="B715" s="362"/>
      <c r="D715" s="355" t="s">
        <v>1175</v>
      </c>
    </row>
    <row r="716" spans="1:12" ht="21.75" customHeight="1" x14ac:dyDescent="0.4">
      <c r="B716" s="362"/>
      <c r="D716" s="355" t="s">
        <v>1177</v>
      </c>
    </row>
    <row r="717" spans="1:12" ht="21.75" customHeight="1" x14ac:dyDescent="0.4">
      <c r="B717" s="362"/>
      <c r="E717" s="355" t="s">
        <v>1178</v>
      </c>
    </row>
    <row r="718" spans="1:12" ht="21.75" customHeight="1" x14ac:dyDescent="0.4">
      <c r="B718" s="362"/>
      <c r="D718" s="355" t="s">
        <v>1176</v>
      </c>
    </row>
    <row r="719" spans="1:12" ht="21.75" customHeight="1" x14ac:dyDescent="0.4">
      <c r="B719" s="362"/>
      <c r="D719" s="355" t="s">
        <v>1181</v>
      </c>
    </row>
    <row r="720" spans="1:12" ht="21.75" customHeight="1" x14ac:dyDescent="0.4">
      <c r="B720" s="362"/>
    </row>
    <row r="721" spans="2:23" ht="21.75" customHeight="1" x14ac:dyDescent="0.4">
      <c r="B721" s="370">
        <v>3.15</v>
      </c>
      <c r="C721" s="353" t="s">
        <v>1239</v>
      </c>
    </row>
    <row r="722" spans="2:23" ht="21.75" customHeight="1" x14ac:dyDescent="0.4">
      <c r="B722" s="362"/>
      <c r="C722" s="461">
        <v>0</v>
      </c>
      <c r="D722" s="355" t="s">
        <v>1182</v>
      </c>
    </row>
    <row r="723" spans="2:23" ht="21.75" customHeight="1" x14ac:dyDescent="0.4">
      <c r="C723" s="355" t="s">
        <v>1183</v>
      </c>
    </row>
    <row r="724" spans="2:23" ht="21.75" customHeight="1" x14ac:dyDescent="0.4">
      <c r="B724" s="370">
        <v>3.16</v>
      </c>
      <c r="C724" s="353" t="s">
        <v>1611</v>
      </c>
      <c r="P724" s="355" t="s">
        <v>1487</v>
      </c>
      <c r="T724" s="368"/>
      <c r="U724" s="368"/>
    </row>
    <row r="725" spans="2:23" ht="21.75" customHeight="1" x14ac:dyDescent="0.4">
      <c r="B725" s="370"/>
      <c r="C725" s="368" t="s">
        <v>1486</v>
      </c>
      <c r="S725" s="368"/>
      <c r="T725" s="368"/>
    </row>
    <row r="726" spans="2:23" ht="21.75" customHeight="1" x14ac:dyDescent="0.4">
      <c r="B726" s="370"/>
      <c r="C726" s="355" t="s">
        <v>1184</v>
      </c>
      <c r="S726" s="368"/>
      <c r="T726" s="368"/>
    </row>
    <row r="727" spans="2:23" ht="21.75" customHeight="1" x14ac:dyDescent="0.4">
      <c r="C727" s="368" t="s">
        <v>1185</v>
      </c>
      <c r="D727" s="354"/>
      <c r="E727" s="354"/>
      <c r="F727" s="354"/>
      <c r="G727" s="354"/>
      <c r="H727" s="354"/>
      <c r="I727" s="1501">
        <f>Q743+Q744+Q745</f>
        <v>0</v>
      </c>
      <c r="J727" s="1501"/>
      <c r="K727" s="355" t="s">
        <v>681</v>
      </c>
      <c r="V727" s="368"/>
      <c r="W727" s="368"/>
    </row>
    <row r="728" spans="2:23" ht="21.75" customHeight="1" x14ac:dyDescent="0.4">
      <c r="C728" s="340" t="s">
        <v>1208</v>
      </c>
      <c r="D728" s="340"/>
      <c r="Q728" s="368"/>
    </row>
    <row r="729" spans="2:23" ht="21.75" customHeight="1" x14ac:dyDescent="0.4">
      <c r="B729" s="362"/>
      <c r="C729" s="462"/>
      <c r="D729" s="340" t="s">
        <v>1186</v>
      </c>
    </row>
    <row r="730" spans="2:23" ht="21.75" customHeight="1" x14ac:dyDescent="0.4">
      <c r="B730" s="362"/>
      <c r="C730" s="462"/>
      <c r="D730" s="340" t="s">
        <v>682</v>
      </c>
    </row>
    <row r="731" spans="2:23" ht="21.75" customHeight="1" x14ac:dyDescent="0.4">
      <c r="C731" s="355" t="s">
        <v>1209</v>
      </c>
    </row>
    <row r="732" spans="2:23" ht="21.75" customHeight="1" x14ac:dyDescent="0.4">
      <c r="B732" s="362"/>
      <c r="D732" s="355" t="s">
        <v>1187</v>
      </c>
    </row>
    <row r="733" spans="2:23" ht="21.75" customHeight="1" x14ac:dyDescent="0.4">
      <c r="B733" s="362"/>
      <c r="D733" s="355" t="s">
        <v>1188</v>
      </c>
    </row>
    <row r="734" spans="2:23" ht="21.75" customHeight="1" x14ac:dyDescent="0.4">
      <c r="B734" s="362"/>
      <c r="C734" s="340" t="s">
        <v>1210</v>
      </c>
      <c r="D734" s="340"/>
    </row>
    <row r="735" spans="2:23" ht="21.75" customHeight="1" x14ac:dyDescent="0.4">
      <c r="C735" s="462"/>
      <c r="D735" s="340" t="s">
        <v>1189</v>
      </c>
    </row>
    <row r="736" spans="2:23" ht="21.75" customHeight="1" x14ac:dyDescent="0.4">
      <c r="B736" s="362"/>
      <c r="C736" s="462"/>
      <c r="D736" s="340" t="s">
        <v>1190</v>
      </c>
    </row>
    <row r="737" spans="1:18" ht="21.75" customHeight="1" x14ac:dyDescent="0.4">
      <c r="B737" s="362"/>
      <c r="C737" s="462"/>
      <c r="D737" s="340" t="s">
        <v>1191</v>
      </c>
    </row>
    <row r="738" spans="1:18" ht="21.75" customHeight="1" x14ac:dyDescent="0.4">
      <c r="B738" s="362"/>
      <c r="C738" s="355" t="s">
        <v>1211</v>
      </c>
    </row>
    <row r="739" spans="1:18" ht="21.75" customHeight="1" x14ac:dyDescent="0.4">
      <c r="D739" s="355" t="s">
        <v>1192</v>
      </c>
    </row>
    <row r="740" spans="1:18" ht="21.75" customHeight="1" x14ac:dyDescent="0.4">
      <c r="B740" s="362"/>
      <c r="D740" s="355" t="s">
        <v>1193</v>
      </c>
    </row>
    <row r="741" spans="1:18" ht="21.75" customHeight="1" x14ac:dyDescent="0.4">
      <c r="B741" s="362"/>
      <c r="D741" s="355" t="s">
        <v>1194</v>
      </c>
    </row>
    <row r="742" spans="1:18" ht="21.75" customHeight="1" x14ac:dyDescent="0.4">
      <c r="B742" s="362"/>
      <c r="C742" s="355" t="s">
        <v>1212</v>
      </c>
    </row>
    <row r="743" spans="1:18" ht="21.75" customHeight="1" x14ac:dyDescent="0.4">
      <c r="B743" s="362"/>
      <c r="C743" s="385">
        <v>1</v>
      </c>
      <c r="D743" s="355" t="s">
        <v>1663</v>
      </c>
      <c r="N743" s="355" t="s">
        <v>309</v>
      </c>
      <c r="Q743" s="355">
        <f>ท่อจ่ายน้ำ!K9</f>
        <v>0</v>
      </c>
      <c r="R743" s="355" t="s">
        <v>679</v>
      </c>
    </row>
    <row r="744" spans="1:18" ht="21.75" customHeight="1" x14ac:dyDescent="0.4">
      <c r="B744" s="362"/>
      <c r="C744" s="385">
        <v>2</v>
      </c>
      <c r="D744" s="355" t="s">
        <v>1661</v>
      </c>
      <c r="N744" s="355" t="s">
        <v>309</v>
      </c>
      <c r="Q744" s="355">
        <f>ท่อจ่ายน้ำ!K10</f>
        <v>0</v>
      </c>
      <c r="R744" s="355" t="s">
        <v>679</v>
      </c>
    </row>
    <row r="745" spans="1:18" ht="21.75" customHeight="1" x14ac:dyDescent="0.4">
      <c r="B745" s="362"/>
      <c r="C745" s="385">
        <v>3</v>
      </c>
      <c r="D745" s="355" t="s">
        <v>1662</v>
      </c>
      <c r="N745" s="355" t="s">
        <v>309</v>
      </c>
      <c r="Q745" s="355">
        <f>ท่อจ่ายน้ำ!K11</f>
        <v>0</v>
      </c>
      <c r="R745" s="355" t="s">
        <v>679</v>
      </c>
    </row>
    <row r="746" spans="1:18" ht="21.75" customHeight="1" x14ac:dyDescent="0.4">
      <c r="A746" s="355"/>
      <c r="C746" s="463" t="s">
        <v>1213</v>
      </c>
      <c r="D746" s="463"/>
    </row>
    <row r="747" spans="1:18" ht="21.75" customHeight="1" x14ac:dyDescent="0.4">
      <c r="A747" s="355"/>
      <c r="C747" s="464"/>
      <c r="D747" s="463" t="s">
        <v>1195</v>
      </c>
    </row>
    <row r="748" spans="1:18" ht="21.75" customHeight="1" x14ac:dyDescent="0.4">
      <c r="A748" s="355"/>
      <c r="C748" s="464"/>
      <c r="D748" s="463" t="s">
        <v>1196</v>
      </c>
    </row>
    <row r="749" spans="1:18" ht="21.75" customHeight="1" x14ac:dyDescent="0.4">
      <c r="A749" s="355"/>
      <c r="C749" s="464" t="s">
        <v>1214</v>
      </c>
      <c r="D749" s="463"/>
    </row>
    <row r="750" spans="1:18" ht="21.75" customHeight="1" x14ac:dyDescent="0.4">
      <c r="A750" s="355"/>
      <c r="C750" s="464"/>
      <c r="D750" s="463" t="s">
        <v>1197</v>
      </c>
    </row>
    <row r="751" spans="1:18" ht="21.75" customHeight="1" x14ac:dyDescent="0.4">
      <c r="A751" s="355"/>
      <c r="C751" s="464"/>
      <c r="D751" s="463" t="s">
        <v>1198</v>
      </c>
    </row>
    <row r="752" spans="1:18" ht="21.75" customHeight="1" x14ac:dyDescent="0.4">
      <c r="A752" s="355"/>
      <c r="C752" s="464"/>
      <c r="D752" s="463" t="s">
        <v>1199</v>
      </c>
    </row>
    <row r="753" spans="1:4" ht="21.75" customHeight="1" x14ac:dyDescent="0.4">
      <c r="A753" s="355"/>
      <c r="C753" s="368" t="s">
        <v>1215</v>
      </c>
      <c r="D753" s="368"/>
    </row>
    <row r="754" spans="1:4" ht="21.75" customHeight="1" x14ac:dyDescent="0.4">
      <c r="A754" s="355"/>
      <c r="C754" s="368"/>
      <c r="D754" s="368" t="s">
        <v>1200</v>
      </c>
    </row>
    <row r="755" spans="1:4" ht="21.75" customHeight="1" x14ac:dyDescent="0.4">
      <c r="A755" s="355"/>
      <c r="C755" s="368"/>
      <c r="D755" s="368" t="s">
        <v>1201</v>
      </c>
    </row>
    <row r="756" spans="1:4" ht="21.75" customHeight="1" x14ac:dyDescent="0.4">
      <c r="A756" s="355"/>
      <c r="C756" s="368"/>
      <c r="D756" s="368"/>
    </row>
    <row r="757" spans="1:4" ht="21.75" customHeight="1" x14ac:dyDescent="0.4">
      <c r="A757" s="355"/>
      <c r="C757" s="368"/>
      <c r="D757" s="368" t="s">
        <v>257</v>
      </c>
    </row>
    <row r="758" spans="1:4" ht="21.75" customHeight="1" x14ac:dyDescent="0.4">
      <c r="A758" s="355"/>
      <c r="C758" s="368" t="s">
        <v>1216</v>
      </c>
      <c r="D758" s="368"/>
    </row>
    <row r="759" spans="1:4" ht="21.75" customHeight="1" x14ac:dyDescent="0.4">
      <c r="C759" s="368"/>
      <c r="D759" s="368" t="s">
        <v>1202</v>
      </c>
    </row>
    <row r="760" spans="1:4" ht="21.75" customHeight="1" x14ac:dyDescent="0.4">
      <c r="C760" s="368"/>
      <c r="D760" s="368" t="s">
        <v>1203</v>
      </c>
    </row>
    <row r="761" spans="1:4" ht="21.75" customHeight="1" x14ac:dyDescent="0.4">
      <c r="C761" s="368" t="s">
        <v>1217</v>
      </c>
      <c r="D761" s="368"/>
    </row>
    <row r="762" spans="1:4" ht="21.75" customHeight="1" x14ac:dyDescent="0.4">
      <c r="C762" s="368"/>
      <c r="D762" s="368" t="s">
        <v>1204</v>
      </c>
    </row>
    <row r="763" spans="1:4" ht="21.75" customHeight="1" x14ac:dyDescent="0.4">
      <c r="C763" s="355" t="s">
        <v>1218</v>
      </c>
    </row>
    <row r="764" spans="1:4" ht="21.75" customHeight="1" x14ac:dyDescent="0.4">
      <c r="D764" s="355" t="s">
        <v>1205</v>
      </c>
    </row>
    <row r="765" spans="1:4" ht="21.75" customHeight="1" x14ac:dyDescent="0.4">
      <c r="D765" s="355" t="s">
        <v>1206</v>
      </c>
    </row>
    <row r="766" spans="1:4" ht="21.75" customHeight="1" x14ac:dyDescent="0.4">
      <c r="C766" s="355" t="s">
        <v>1219</v>
      </c>
    </row>
    <row r="767" spans="1:4" ht="21.75" customHeight="1" x14ac:dyDescent="0.4">
      <c r="D767" s="355" t="s">
        <v>1207</v>
      </c>
    </row>
    <row r="768" spans="1:4" ht="21.75" customHeight="1" x14ac:dyDescent="0.4">
      <c r="B768" s="368"/>
      <c r="D768" s="355" t="s">
        <v>25</v>
      </c>
    </row>
    <row r="769" spans="2:4" ht="21.75" customHeight="1" x14ac:dyDescent="0.4">
      <c r="B769" s="1110">
        <v>3.17</v>
      </c>
      <c r="C769" s="355" t="s">
        <v>1529</v>
      </c>
    </row>
    <row r="770" spans="2:4" ht="21.75" customHeight="1" x14ac:dyDescent="0.4">
      <c r="B770" s="368"/>
      <c r="C770" s="355" t="s">
        <v>1530</v>
      </c>
    </row>
    <row r="771" spans="2:4" ht="21.75" customHeight="1" x14ac:dyDescent="0.4">
      <c r="B771" s="368"/>
      <c r="C771" s="355" t="s">
        <v>1542</v>
      </c>
    </row>
    <row r="772" spans="2:4" ht="21.75" customHeight="1" x14ac:dyDescent="0.4">
      <c r="B772" s="368"/>
      <c r="D772" s="355" t="s">
        <v>1541</v>
      </c>
    </row>
    <row r="773" spans="2:4" ht="21.75" customHeight="1" x14ac:dyDescent="0.4">
      <c r="D773" s="355" t="s">
        <v>1531</v>
      </c>
    </row>
    <row r="774" spans="2:4" ht="21.75" customHeight="1" x14ac:dyDescent="0.4">
      <c r="C774" s="354"/>
      <c r="D774" s="355" t="s">
        <v>1532</v>
      </c>
    </row>
    <row r="775" spans="2:4" ht="21.75" customHeight="1" x14ac:dyDescent="0.4">
      <c r="C775" s="354"/>
      <c r="D775" s="355" t="s">
        <v>1533</v>
      </c>
    </row>
    <row r="776" spans="2:4" ht="21.75" customHeight="1" x14ac:dyDescent="0.4">
      <c r="D776" s="355" t="s">
        <v>1540</v>
      </c>
    </row>
    <row r="777" spans="2:4" ht="21.75" customHeight="1" x14ac:dyDescent="0.4">
      <c r="D777" s="355" t="s">
        <v>1534</v>
      </c>
    </row>
    <row r="778" spans="2:4" ht="21.75" customHeight="1" x14ac:dyDescent="0.4">
      <c r="D778" s="355" t="s">
        <v>1535</v>
      </c>
    </row>
    <row r="779" spans="2:4" ht="21.75" customHeight="1" x14ac:dyDescent="0.4">
      <c r="D779" s="355" t="s">
        <v>1548</v>
      </c>
    </row>
    <row r="780" spans="2:4" ht="21.75" customHeight="1" x14ac:dyDescent="0.4">
      <c r="D780" s="355" t="s">
        <v>1547</v>
      </c>
    </row>
    <row r="781" spans="2:4" ht="21.75" customHeight="1" x14ac:dyDescent="0.4">
      <c r="C781" s="355" t="s">
        <v>1543</v>
      </c>
    </row>
    <row r="782" spans="2:4" ht="21.75" customHeight="1" x14ac:dyDescent="0.4">
      <c r="D782" s="355" t="s">
        <v>1544</v>
      </c>
    </row>
    <row r="783" spans="2:4" ht="21.75" customHeight="1" x14ac:dyDescent="0.4">
      <c r="D783" s="355" t="s">
        <v>1536</v>
      </c>
    </row>
    <row r="784" spans="2:4" ht="21.75" customHeight="1" x14ac:dyDescent="0.4">
      <c r="D784" s="355" t="s">
        <v>1537</v>
      </c>
    </row>
    <row r="785" spans="1:13" ht="21.75" customHeight="1" x14ac:dyDescent="0.4">
      <c r="D785" s="355" t="s">
        <v>1545</v>
      </c>
    </row>
    <row r="786" spans="1:13" ht="21.75" customHeight="1" x14ac:dyDescent="0.4">
      <c r="D786" s="355" t="s">
        <v>1538</v>
      </c>
    </row>
    <row r="787" spans="1:13" ht="21.75" customHeight="1" x14ac:dyDescent="0.4">
      <c r="D787" s="355" t="s">
        <v>1546</v>
      </c>
    </row>
    <row r="788" spans="1:13" ht="21.75" customHeight="1" x14ac:dyDescent="0.4">
      <c r="D788" s="355" t="s">
        <v>1539</v>
      </c>
    </row>
    <row r="789" spans="1:13" ht="21.75" customHeight="1" x14ac:dyDescent="0.4"/>
    <row r="790" spans="1:13" ht="21.75" customHeight="1" x14ac:dyDescent="0.4">
      <c r="B790" s="362"/>
      <c r="C790" s="353"/>
      <c r="G790" s="355" t="s">
        <v>258</v>
      </c>
      <c r="H790" s="368"/>
    </row>
    <row r="791" spans="1:13" ht="21.75" customHeight="1" x14ac:dyDescent="0.4">
      <c r="A791" s="380"/>
      <c r="B791" s="396"/>
      <c r="C791" s="380"/>
      <c r="D791" s="380"/>
      <c r="E791" s="380"/>
      <c r="F791" s="380"/>
      <c r="G791" s="380"/>
      <c r="H791" s="380"/>
      <c r="I791" s="380"/>
      <c r="J791" s="380"/>
    </row>
    <row r="792" spans="1:13" ht="21.75" customHeight="1" x14ac:dyDescent="0.4">
      <c r="A792" s="380"/>
      <c r="B792" s="396"/>
      <c r="C792" s="380"/>
      <c r="D792" s="380"/>
      <c r="E792" s="380"/>
      <c r="F792" s="380"/>
      <c r="G792" s="380"/>
      <c r="H792" s="380"/>
      <c r="I792" s="380"/>
      <c r="J792" s="380"/>
    </row>
    <row r="793" spans="1:13" ht="21.75" customHeight="1" x14ac:dyDescent="0.4">
      <c r="A793" s="380"/>
      <c r="B793" s="396"/>
      <c r="C793" s="380"/>
      <c r="D793" s="380"/>
      <c r="E793" s="380"/>
      <c r="F793" s="380"/>
      <c r="G793" s="380"/>
      <c r="H793" s="380"/>
      <c r="I793" s="380"/>
      <c r="J793" s="380"/>
    </row>
    <row r="794" spans="1:13" ht="21.75" customHeight="1" x14ac:dyDescent="0.4">
      <c r="A794" s="380"/>
      <c r="B794" s="396"/>
      <c r="C794" s="380"/>
      <c r="D794" s="380"/>
      <c r="E794" s="380"/>
      <c r="F794" s="380"/>
      <c r="G794" s="380"/>
      <c r="H794" s="380"/>
      <c r="I794" s="380"/>
      <c r="J794" s="380"/>
    </row>
    <row r="795" spans="1:13" ht="21.75" customHeight="1" x14ac:dyDescent="0.4">
      <c r="A795" s="380"/>
      <c r="B795" s="396"/>
      <c r="C795" s="380"/>
      <c r="D795" s="465"/>
      <c r="E795" s="380"/>
      <c r="F795" s="466"/>
    </row>
    <row r="796" spans="1:13" ht="21.75" customHeight="1" x14ac:dyDescent="0.4">
      <c r="A796" s="380"/>
      <c r="B796" s="396"/>
      <c r="C796" s="380"/>
      <c r="D796" s="380"/>
      <c r="E796" s="380"/>
      <c r="F796" s="380"/>
    </row>
    <row r="797" spans="1:13" ht="21.75" customHeight="1" x14ac:dyDescent="0.4">
      <c r="A797" s="380"/>
      <c r="B797" s="396"/>
      <c r="C797" s="380"/>
      <c r="D797" s="380"/>
      <c r="E797" s="380"/>
      <c r="F797" s="380"/>
      <c r="G797" s="380"/>
      <c r="H797" s="380"/>
      <c r="I797" s="380"/>
      <c r="J797" s="380"/>
    </row>
    <row r="798" spans="1:13" ht="21.75" customHeight="1" x14ac:dyDescent="0.4">
      <c r="A798" s="380"/>
      <c r="B798" s="396"/>
      <c r="C798" s="380"/>
      <c r="D798" s="380"/>
      <c r="E798" s="380"/>
      <c r="F798" s="380"/>
      <c r="G798" s="380"/>
      <c r="H798" s="380"/>
      <c r="I798" s="380"/>
      <c r="J798" s="380"/>
    </row>
    <row r="799" spans="1:13" ht="21.75" customHeight="1" x14ac:dyDescent="0.4">
      <c r="A799" s="380"/>
      <c r="B799" s="396"/>
      <c r="C799" s="380"/>
      <c r="D799" s="380"/>
      <c r="E799" s="380"/>
      <c r="F799" s="380"/>
      <c r="G799" s="380"/>
      <c r="H799" s="380"/>
      <c r="I799" s="380"/>
      <c r="J799" s="380"/>
    </row>
    <row r="800" spans="1:13" ht="21.75" customHeight="1" x14ac:dyDescent="0.4">
      <c r="A800" s="380"/>
      <c r="B800" s="396"/>
      <c r="C800" s="380"/>
      <c r="D800" s="380"/>
      <c r="E800" s="380"/>
      <c r="F800" s="380"/>
      <c r="G800" s="380"/>
      <c r="H800" s="380"/>
      <c r="I800" s="467"/>
      <c r="M800" s="380"/>
    </row>
    <row r="801" spans="1:10" ht="21.75" customHeight="1" x14ac:dyDescent="0.4">
      <c r="A801" s="380"/>
      <c r="B801" s="396"/>
      <c r="C801" s="380"/>
      <c r="D801" s="380"/>
      <c r="E801" s="380"/>
      <c r="F801" s="380"/>
      <c r="G801" s="380"/>
      <c r="H801" s="380"/>
      <c r="I801" s="380"/>
      <c r="J801" s="380"/>
    </row>
    <row r="802" spans="1:10" ht="21.75" customHeight="1" x14ac:dyDescent="0.4">
      <c r="A802" s="380"/>
      <c r="B802" s="396"/>
      <c r="C802" s="380"/>
      <c r="D802" s="380"/>
      <c r="E802" s="380"/>
      <c r="F802" s="380"/>
      <c r="G802" s="380"/>
      <c r="H802" s="380"/>
      <c r="I802" s="380"/>
      <c r="J802" s="380"/>
    </row>
    <row r="803" spans="1:10" ht="21.75" customHeight="1" x14ac:dyDescent="0.4">
      <c r="A803" s="380"/>
      <c r="B803" s="396"/>
      <c r="C803" s="380"/>
      <c r="D803" s="380"/>
      <c r="E803" s="380"/>
      <c r="F803" s="380"/>
      <c r="G803" s="380"/>
      <c r="H803" s="380"/>
      <c r="I803" s="380"/>
      <c r="J803" s="380"/>
    </row>
    <row r="804" spans="1:10" ht="21.75" customHeight="1" x14ac:dyDescent="0.4">
      <c r="A804" s="380"/>
      <c r="B804" s="396"/>
      <c r="C804" s="380"/>
      <c r="D804" s="465"/>
      <c r="E804" s="380"/>
      <c r="F804" s="466"/>
    </row>
    <row r="805" spans="1:10" ht="21.75" customHeight="1" x14ac:dyDescent="0.4">
      <c r="A805" s="380"/>
      <c r="B805" s="396"/>
      <c r="C805" s="380"/>
      <c r="D805" s="380"/>
      <c r="E805" s="380"/>
      <c r="F805" s="380"/>
    </row>
    <row r="806" spans="1:10" ht="24" customHeight="1" x14ac:dyDescent="0.4">
      <c r="A806" s="380"/>
      <c r="B806" s="396"/>
      <c r="C806" s="380"/>
      <c r="D806" s="380"/>
      <c r="E806" s="380"/>
      <c r="F806" s="380"/>
      <c r="G806" s="380"/>
      <c r="H806" s="380"/>
      <c r="I806" s="380"/>
      <c r="J806" s="380"/>
    </row>
    <row r="807" spans="1:10" ht="24" customHeight="1" x14ac:dyDescent="0.4">
      <c r="A807" s="380"/>
      <c r="B807" s="396"/>
      <c r="C807" s="380"/>
      <c r="D807" s="380"/>
      <c r="E807" s="380"/>
      <c r="F807" s="380"/>
      <c r="G807" s="380"/>
      <c r="H807" s="380"/>
      <c r="I807" s="380"/>
      <c r="J807" s="380"/>
    </row>
    <row r="808" spans="1:10" ht="24" customHeight="1" x14ac:dyDescent="0.4">
      <c r="A808" s="468"/>
      <c r="B808" s="396"/>
      <c r="C808" s="380"/>
      <c r="D808" s="380"/>
      <c r="E808" s="380"/>
      <c r="F808" s="380"/>
      <c r="G808" s="380"/>
      <c r="H808" s="380"/>
      <c r="I808" s="380"/>
      <c r="J808" s="380"/>
    </row>
    <row r="809" spans="1:10" ht="24" customHeight="1" x14ac:dyDescent="0.4">
      <c r="A809" s="468"/>
      <c r="B809" s="396"/>
      <c r="C809" s="380"/>
      <c r="D809" s="380"/>
      <c r="E809" s="380"/>
      <c r="F809" s="380"/>
      <c r="G809" s="380"/>
      <c r="H809" s="380"/>
      <c r="I809" s="467"/>
      <c r="J809" s="380"/>
    </row>
    <row r="810" spans="1:10" ht="24" customHeight="1" x14ac:dyDescent="0.4">
      <c r="A810" s="468"/>
      <c r="B810" s="396"/>
      <c r="C810" s="380"/>
      <c r="D810" s="380"/>
      <c r="E810" s="380"/>
      <c r="F810" s="380"/>
      <c r="G810" s="380"/>
      <c r="H810" s="380"/>
      <c r="I810" s="380"/>
      <c r="J810" s="380"/>
    </row>
    <row r="811" spans="1:10" ht="24" customHeight="1" x14ac:dyDescent="0.45">
      <c r="A811" s="468"/>
      <c r="B811" s="469"/>
    </row>
    <row r="812" spans="1:10" ht="24" customHeight="1" x14ac:dyDescent="0.45">
      <c r="B812" s="469"/>
    </row>
  </sheetData>
  <mergeCells count="16">
    <mergeCell ref="J51:K51"/>
    <mergeCell ref="I727:J727"/>
    <mergeCell ref="O148:S148"/>
    <mergeCell ref="N175:O175"/>
    <mergeCell ref="C57:D57"/>
    <mergeCell ref="D169:E169"/>
    <mergeCell ref="D170:E170"/>
    <mergeCell ref="J170:L170"/>
    <mergeCell ref="H391:I391"/>
    <mergeCell ref="P60:Q60"/>
    <mergeCell ref="M306:N306"/>
    <mergeCell ref="Q169:R169"/>
    <mergeCell ref="J169:L169"/>
    <mergeCell ref="C375:D375"/>
    <mergeCell ref="N393:O393"/>
    <mergeCell ref="M294:N294"/>
  </mergeCells>
  <phoneticPr fontId="27" type="noConversion"/>
  <pageMargins left="0.9" right="0.55000000000000004" top="0.94488188976377996" bottom="0.59055118110236204" header="0.511811023622047" footer="0.27559055118110198"/>
  <pageSetup paperSize="9" orientation="portrait" r:id="rId1"/>
  <headerFooter alignWithMargins="0">
    <oddHeader>&amp;R&amp;"TH SarabunIT๙,ธรรมดา"บ้านบางสามัคคี แผ่นที่ &amp;P/2๒</oddHeader>
    <oddFooter>&amp;C&amp;"TH SarabunPSK,ธรรมดา"รายละเอียดเฉพาะแห่ง</oddFooter>
  </headerFooter>
  <drawing r:id="rId2"/>
  <legacyDrawing r:id="rId3"/>
  <oleObjects>
    <mc:AlternateContent xmlns:mc="http://schemas.openxmlformats.org/markup-compatibility/2006">
      <mc:Choice Requires="x14">
        <oleObject progId="AutoCAD.Drawing.16" shapeId="17696" r:id="rId4">
          <objectPr defaultSize="0" autoPict="0" r:id="rId5">
            <anchor moveWithCells="1">
              <from>
                <xdr:col>1</xdr:col>
                <xdr:colOff>137160</xdr:colOff>
                <xdr:row>577</xdr:row>
                <xdr:rowOff>7620</xdr:rowOff>
              </from>
              <to>
                <xdr:col>17</xdr:col>
                <xdr:colOff>22860</xdr:colOff>
                <xdr:row>605</xdr:row>
                <xdr:rowOff>114300</xdr:rowOff>
              </to>
            </anchor>
          </objectPr>
        </oleObject>
      </mc:Choice>
      <mc:Fallback>
        <oleObject progId="AutoCAD.Drawing.16" shapeId="17696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26" sqref="H26"/>
    </sheetView>
  </sheetViews>
  <sheetFormatPr defaultColWidth="9" defaultRowHeight="21" x14ac:dyDescent="0.4"/>
  <cols>
    <col min="1" max="1" width="4.625" style="340" customWidth="1"/>
    <col min="2" max="2" width="7.375" style="340" customWidth="1"/>
    <col min="3" max="3" width="6" style="340" customWidth="1"/>
    <col min="4" max="5" width="9" style="340" customWidth="1"/>
    <col min="6" max="6" width="11.125" style="340" bestFit="1" customWidth="1"/>
    <col min="7" max="7" width="9" style="340" customWidth="1"/>
    <col min="8" max="8" width="11.625" style="340" customWidth="1"/>
    <col min="9" max="9" width="10.375" style="340" customWidth="1"/>
    <col min="10" max="10" width="9.25" style="340" customWidth="1"/>
    <col min="11" max="11" width="1.25" style="340" customWidth="1"/>
    <col min="12" max="16384" width="9" style="340"/>
  </cols>
  <sheetData>
    <row r="1" spans="1:10" ht="27.75" customHeight="1" x14ac:dyDescent="0.4">
      <c r="A1" s="337"/>
      <c r="B1" s="338"/>
      <c r="C1" s="338"/>
      <c r="D1" s="338"/>
      <c r="E1" s="338"/>
      <c r="F1" s="338"/>
      <c r="G1" s="338"/>
      <c r="H1" s="338"/>
      <c r="I1" s="338"/>
      <c r="J1" s="339"/>
    </row>
    <row r="2" spans="1:10" ht="27.75" customHeight="1" x14ac:dyDescent="0.4">
      <c r="A2" s="341"/>
      <c r="J2" s="343"/>
    </row>
    <row r="3" spans="1:10" ht="27.75" customHeight="1" x14ac:dyDescent="0.4">
      <c r="A3" s="341"/>
      <c r="J3" s="343"/>
    </row>
    <row r="4" spans="1:10" ht="27.75" customHeight="1" x14ac:dyDescent="0.4">
      <c r="A4" s="341"/>
      <c r="J4" s="343"/>
    </row>
    <row r="5" spans="1:10" ht="33" x14ac:dyDescent="0.6">
      <c r="A5" s="341"/>
      <c r="F5" s="345" t="s">
        <v>105</v>
      </c>
      <c r="J5" s="343"/>
    </row>
    <row r="6" spans="1:10" ht="30.6" x14ac:dyDescent="0.55000000000000004">
      <c r="A6" s="341"/>
      <c r="F6" s="470" t="s">
        <v>7</v>
      </c>
      <c r="J6" s="343"/>
    </row>
    <row r="7" spans="1:10" ht="27" customHeight="1" x14ac:dyDescent="0.5">
      <c r="A7" s="1509" t="s">
        <v>1714</v>
      </c>
      <c r="B7" s="1510"/>
      <c r="C7" s="1510"/>
      <c r="D7" s="1510"/>
      <c r="E7" s="1510"/>
      <c r="F7" s="1510"/>
      <c r="G7" s="1510"/>
      <c r="H7" s="1510"/>
      <c r="I7" s="1510"/>
      <c r="J7" s="1511"/>
    </row>
    <row r="8" spans="1:10" ht="27" customHeight="1" x14ac:dyDescent="0.45">
      <c r="A8" s="341"/>
      <c r="F8" s="344" t="s">
        <v>1715</v>
      </c>
      <c r="J8" s="343"/>
    </row>
    <row r="9" spans="1:10" ht="24.75" customHeight="1" x14ac:dyDescent="0.4">
      <c r="A9" s="341"/>
      <c r="J9" s="343"/>
    </row>
    <row r="10" spans="1:10" ht="24.75" customHeight="1" x14ac:dyDescent="0.4">
      <c r="A10" s="341"/>
      <c r="J10" s="343"/>
    </row>
    <row r="11" spans="1:10" ht="24.75" customHeight="1" x14ac:dyDescent="0.4">
      <c r="A11" s="341"/>
      <c r="J11" s="343"/>
    </row>
    <row r="12" spans="1:10" ht="24.75" customHeight="1" x14ac:dyDescent="0.4">
      <c r="A12" s="341"/>
      <c r="J12" s="343"/>
    </row>
    <row r="13" spans="1:10" ht="25.2" x14ac:dyDescent="0.45">
      <c r="A13" s="341"/>
      <c r="F13" s="344" t="s">
        <v>142</v>
      </c>
      <c r="J13" s="343"/>
    </row>
    <row r="14" spans="1:10" ht="33" x14ac:dyDescent="0.6">
      <c r="A14" s="341"/>
      <c r="F14" s="345" t="s">
        <v>1716</v>
      </c>
      <c r="J14" s="343"/>
    </row>
    <row r="15" spans="1:10" ht="33" x14ac:dyDescent="0.6">
      <c r="A15" s="341"/>
      <c r="F15" s="345" t="s">
        <v>1717</v>
      </c>
      <c r="J15" s="343"/>
    </row>
    <row r="16" spans="1:10" ht="23.25" customHeight="1" x14ac:dyDescent="0.4">
      <c r="A16" s="341"/>
      <c r="J16" s="343"/>
    </row>
    <row r="17" spans="1:10" ht="23.25" customHeight="1" x14ac:dyDescent="0.4">
      <c r="A17" s="341"/>
      <c r="J17" s="343"/>
    </row>
    <row r="18" spans="1:10" ht="23.25" customHeight="1" x14ac:dyDescent="0.4">
      <c r="A18" s="341"/>
      <c r="J18" s="343"/>
    </row>
    <row r="19" spans="1:10" ht="23.25" customHeight="1" x14ac:dyDescent="0.4">
      <c r="A19" s="341"/>
      <c r="J19" s="343"/>
    </row>
    <row r="20" spans="1:10" ht="23.25" customHeight="1" x14ac:dyDescent="0.4">
      <c r="A20" s="341"/>
      <c r="J20" s="343"/>
    </row>
    <row r="21" spans="1:10" ht="27.75" customHeight="1" x14ac:dyDescent="0.4">
      <c r="A21" s="341"/>
      <c r="D21" s="346" t="s">
        <v>560</v>
      </c>
      <c r="J21" s="343"/>
    </row>
    <row r="22" spans="1:10" ht="27.75" customHeight="1" x14ac:dyDescent="0.4">
      <c r="A22" s="341"/>
      <c r="E22" s="347" t="s">
        <v>1718</v>
      </c>
      <c r="F22" s="347"/>
      <c r="J22" s="343"/>
    </row>
    <row r="23" spans="1:10" ht="24.75" customHeight="1" x14ac:dyDescent="0.5">
      <c r="A23" s="341"/>
      <c r="C23" s="348"/>
      <c r="E23" s="347"/>
      <c r="F23" s="347"/>
      <c r="J23" s="343"/>
    </row>
    <row r="24" spans="1:10" ht="24.75" customHeight="1" x14ac:dyDescent="0.5">
      <c r="A24" s="341"/>
      <c r="C24" s="348"/>
      <c r="E24" s="347"/>
      <c r="F24" s="347"/>
      <c r="J24" s="343"/>
    </row>
    <row r="25" spans="1:10" ht="24.75" customHeight="1" x14ac:dyDescent="0.5">
      <c r="A25" s="341"/>
      <c r="C25" s="348"/>
      <c r="E25" s="347"/>
      <c r="F25" s="347"/>
      <c r="J25" s="343"/>
    </row>
    <row r="26" spans="1:10" ht="24.75" customHeight="1" x14ac:dyDescent="0.5">
      <c r="A26" s="341"/>
      <c r="C26" s="348"/>
      <c r="E26" s="347"/>
      <c r="F26" s="347"/>
      <c r="J26" s="343"/>
    </row>
    <row r="27" spans="1:10" ht="24.75" customHeight="1" x14ac:dyDescent="0.4">
      <c r="A27" s="341"/>
      <c r="E27" s="349"/>
      <c r="F27" s="349"/>
      <c r="J27" s="343"/>
    </row>
    <row r="28" spans="1:10" ht="16.5" customHeight="1" x14ac:dyDescent="0.4">
      <c r="A28" s="350"/>
      <c r="B28" s="351"/>
      <c r="C28" s="351"/>
      <c r="D28" s="351"/>
      <c r="E28" s="351"/>
      <c r="F28" s="351"/>
      <c r="G28" s="351"/>
      <c r="H28" s="351"/>
      <c r="I28" s="351"/>
      <c r="J28" s="352"/>
    </row>
    <row r="29" spans="1:10" ht="4.5" customHeight="1" x14ac:dyDescent="0.4"/>
  </sheetData>
  <mergeCells count="1">
    <mergeCell ref="A7:J7"/>
  </mergeCells>
  <phoneticPr fontId="27" type="noConversion"/>
  <pageMargins left="1.1417322834645669" right="0.74803149606299213" top="1.1811023622047245" bottom="0.78740157480314965" header="0.51181102362204722" footer="0.51181102362204722"/>
  <pageSetup paperSize="9" orientation="portrait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workbookViewId="0">
      <selection activeCell="F23" sqref="F23"/>
    </sheetView>
  </sheetViews>
  <sheetFormatPr defaultRowHeight="21" x14ac:dyDescent="0.6"/>
  <cols>
    <col min="1" max="1" width="12.75" customWidth="1"/>
    <col min="2" max="2" width="26.75" customWidth="1"/>
    <col min="3" max="3" width="10.75" customWidth="1"/>
    <col min="4" max="4" width="17.75" customWidth="1"/>
    <col min="5" max="5" width="9.75" customWidth="1"/>
    <col min="6" max="7" width="17.75" customWidth="1"/>
  </cols>
  <sheetData>
    <row r="1" spans="1:7" x14ac:dyDescent="0.6">
      <c r="A1" s="9" t="s">
        <v>115</v>
      </c>
      <c r="B1" s="9"/>
      <c r="C1" s="9"/>
      <c r="D1" s="9"/>
      <c r="E1" s="9"/>
      <c r="F1" s="9"/>
      <c r="G1" s="9"/>
    </row>
    <row r="2" spans="1:7" x14ac:dyDescent="0.6">
      <c r="A2" s="10" t="s">
        <v>116</v>
      </c>
      <c r="B2" s="11" t="str">
        <f>'แบบ ปร.6'!$A$4</f>
        <v>สำนักบริหารจัดการน้ำ  กรมทรัพยากรน้ำ</v>
      </c>
      <c r="C2" s="9"/>
      <c r="D2" s="11"/>
      <c r="E2" s="9"/>
      <c r="F2" s="11"/>
      <c r="G2" s="10"/>
    </row>
    <row r="3" spans="1:7" x14ac:dyDescent="0.6">
      <c r="A3" s="10" t="s">
        <v>523</v>
      </c>
      <c r="B3" s="12" t="s">
        <v>117</v>
      </c>
      <c r="C3" s="10"/>
      <c r="D3" s="10"/>
      <c r="E3" s="10"/>
      <c r="F3" s="10"/>
      <c r="G3" s="10"/>
    </row>
    <row r="4" spans="1:7" x14ac:dyDescent="0.6">
      <c r="A4" s="10" t="s">
        <v>118</v>
      </c>
      <c r="B4" s="10"/>
      <c r="C4" s="10"/>
      <c r="D4" s="10"/>
      <c r="E4" s="10"/>
      <c r="F4" s="10"/>
      <c r="G4" s="10"/>
    </row>
    <row r="5" spans="1:7" x14ac:dyDescent="0.6">
      <c r="A5" s="13" t="str">
        <f>'แบบ ปร.6'!$A$2</f>
        <v>สถานที่ก่อสร้าง</v>
      </c>
      <c r="B5" s="10"/>
      <c r="C5" s="10"/>
      <c r="D5" s="10"/>
      <c r="E5" s="10"/>
      <c r="F5" s="10"/>
      <c r="G5" s="10"/>
    </row>
    <row r="6" spans="1:7" x14ac:dyDescent="0.6">
      <c r="A6" s="10" t="s">
        <v>119</v>
      </c>
      <c r="B6" s="10"/>
      <c r="C6" s="12" t="str">
        <f>'แบบ ปร.6'!$A$4</f>
        <v>สำนักบริหารจัดการน้ำ  กรมทรัพยากรน้ำ</v>
      </c>
      <c r="D6" s="12"/>
      <c r="E6" s="10"/>
      <c r="F6" s="12"/>
      <c r="G6" s="10"/>
    </row>
    <row r="7" spans="1:7" x14ac:dyDescent="0.6">
      <c r="A7" s="10" t="s">
        <v>120</v>
      </c>
      <c r="B7" s="14" t="s">
        <v>121</v>
      </c>
      <c r="C7" s="15"/>
      <c r="D7" s="10"/>
      <c r="E7" s="10"/>
      <c r="F7" s="10"/>
      <c r="G7" s="10"/>
    </row>
    <row r="8" spans="1:7" x14ac:dyDescent="0.6">
      <c r="A8" s="10" t="s">
        <v>122</v>
      </c>
      <c r="B8" s="10"/>
      <c r="C8" s="16" t="s">
        <v>525</v>
      </c>
      <c r="D8" s="17"/>
      <c r="E8" s="16" t="s">
        <v>123</v>
      </c>
      <c r="F8" s="10"/>
      <c r="G8" s="10"/>
    </row>
    <row r="9" spans="1:7" x14ac:dyDescent="0.6">
      <c r="A9" s="10" t="s">
        <v>124</v>
      </c>
      <c r="B9" s="10"/>
      <c r="C9" s="18">
        <f>'แบบ ปร.6'!$C$5</f>
        <v>37950</v>
      </c>
      <c r="D9" s="10"/>
      <c r="E9" s="10"/>
      <c r="F9" s="10"/>
      <c r="G9" s="10"/>
    </row>
    <row r="11" spans="1:7" ht="52.2" x14ac:dyDescent="0.6">
      <c r="A11" s="19" t="s">
        <v>522</v>
      </c>
      <c r="B11" s="20" t="s">
        <v>125</v>
      </c>
      <c r="C11" s="21"/>
      <c r="D11" s="22" t="s">
        <v>126</v>
      </c>
      <c r="E11" s="19" t="s">
        <v>127</v>
      </c>
      <c r="F11" s="22" t="s">
        <v>128</v>
      </c>
      <c r="G11" s="19" t="s">
        <v>761</v>
      </c>
    </row>
    <row r="12" spans="1:7" x14ac:dyDescent="0.6">
      <c r="A12" s="23">
        <v>1</v>
      </c>
      <c r="B12" s="24" t="s">
        <v>129</v>
      </c>
      <c r="C12" s="25"/>
      <c r="D12" s="157" t="e">
        <f>'แบบ ปร.6'!$C$26</f>
        <v>#REF!</v>
      </c>
      <c r="E12" s="27" t="e">
        <f>'แบบ ปร.6'!$G$38</f>
        <v>#REF!</v>
      </c>
      <c r="F12" s="240" t="e">
        <f>D12*E12</f>
        <v>#REF!</v>
      </c>
      <c r="G12" s="28"/>
    </row>
    <row r="13" spans="1:7" x14ac:dyDescent="0.6">
      <c r="A13" s="23">
        <v>2</v>
      </c>
      <c r="B13" s="242" t="s">
        <v>130</v>
      </c>
      <c r="C13" s="30"/>
      <c r="D13" s="239">
        <f>'แบบ ปร.6'!$C$29</f>
        <v>8014.6500000000005</v>
      </c>
      <c r="E13" s="241">
        <v>1.3016000000000001</v>
      </c>
      <c r="F13" s="240">
        <f>D13*E13</f>
        <v>10431.868440000002</v>
      </c>
      <c r="G13" s="32"/>
    </row>
    <row r="14" spans="1:7" x14ac:dyDescent="0.6">
      <c r="A14" s="23">
        <v>3</v>
      </c>
      <c r="B14" s="29" t="s">
        <v>131</v>
      </c>
      <c r="C14" s="30"/>
      <c r="D14" s="240"/>
      <c r="E14" s="31"/>
      <c r="F14" s="240"/>
      <c r="G14" s="31"/>
    </row>
    <row r="15" spans="1:7" x14ac:dyDescent="0.6">
      <c r="A15" s="23">
        <v>4</v>
      </c>
      <c r="B15" s="29" t="s">
        <v>132</v>
      </c>
      <c r="C15" s="30"/>
      <c r="D15" s="241"/>
      <c r="E15" s="31"/>
      <c r="F15" s="240"/>
      <c r="G15" s="33"/>
    </row>
    <row r="16" spans="1:7" x14ac:dyDescent="0.6">
      <c r="A16" s="23">
        <v>5</v>
      </c>
      <c r="B16" s="242" t="s">
        <v>631</v>
      </c>
      <c r="C16" s="30"/>
      <c r="D16" s="239" t="e">
        <f>'แบบ ปร.6'!$C$62</f>
        <v>#REF!</v>
      </c>
      <c r="E16" s="241">
        <v>1.07</v>
      </c>
      <c r="F16" s="240" t="e">
        <f>D16*E16</f>
        <v>#REF!</v>
      </c>
      <c r="G16" s="33"/>
    </row>
    <row r="17" spans="1:7" x14ac:dyDescent="0.6">
      <c r="A17" s="23"/>
      <c r="B17" s="24" t="s">
        <v>133</v>
      </c>
      <c r="C17" s="30"/>
      <c r="D17" s="31"/>
      <c r="E17" s="31"/>
      <c r="F17" s="31"/>
      <c r="G17" s="31"/>
    </row>
    <row r="18" spans="1:7" x14ac:dyDescent="0.6">
      <c r="A18" s="23"/>
      <c r="B18" s="29" t="s">
        <v>649</v>
      </c>
      <c r="C18" s="34">
        <v>0.15</v>
      </c>
      <c r="D18" s="31"/>
      <c r="E18" s="31"/>
      <c r="F18" s="31"/>
      <c r="G18" s="33"/>
    </row>
    <row r="19" spans="1:7" x14ac:dyDescent="0.6">
      <c r="A19" s="23"/>
      <c r="B19" s="29" t="s">
        <v>653</v>
      </c>
      <c r="C19" s="34">
        <v>0</v>
      </c>
      <c r="D19" s="31"/>
      <c r="E19" s="31"/>
      <c r="F19" s="31"/>
      <c r="G19" s="31"/>
    </row>
    <row r="20" spans="1:7" x14ac:dyDescent="0.6">
      <c r="A20" s="23"/>
      <c r="B20" s="29" t="s">
        <v>651</v>
      </c>
      <c r="C20" s="34">
        <v>7.0000000000000007E-2</v>
      </c>
      <c r="D20" s="31"/>
      <c r="E20" s="31"/>
      <c r="F20" s="31"/>
      <c r="G20" s="31"/>
    </row>
    <row r="21" spans="1:7" x14ac:dyDescent="0.6">
      <c r="A21" s="23"/>
      <c r="B21" s="29" t="s">
        <v>134</v>
      </c>
      <c r="C21" s="34"/>
      <c r="D21" s="31"/>
      <c r="E21" s="31"/>
      <c r="F21" s="31"/>
      <c r="G21" s="31"/>
    </row>
    <row r="22" spans="1:7" x14ac:dyDescent="0.6">
      <c r="A22" s="35" t="s">
        <v>135</v>
      </c>
      <c r="B22" s="24" t="s">
        <v>136</v>
      </c>
      <c r="C22" s="30"/>
      <c r="D22" s="31"/>
      <c r="E22" s="31"/>
      <c r="F22" s="26" t="e">
        <f>SUM(F12:F21)</f>
        <v>#REF!</v>
      </c>
      <c r="G22" s="31"/>
    </row>
    <row r="23" spans="1:7" x14ac:dyDescent="0.6">
      <c r="A23" s="5"/>
      <c r="B23" s="6" t="s">
        <v>137</v>
      </c>
      <c r="C23" s="1"/>
      <c r="D23" s="36"/>
      <c r="E23" s="36"/>
      <c r="F23" s="3" t="e">
        <f>ROUNDDOWN(F22,-3)</f>
        <v>#REF!</v>
      </c>
      <c r="G23" s="31"/>
    </row>
    <row r="24" spans="1:7" x14ac:dyDescent="0.6">
      <c r="A24" s="37" t="s">
        <v>138</v>
      </c>
      <c r="B24" s="38"/>
      <c r="C24" s="39"/>
      <c r="D24" s="39"/>
      <c r="E24" s="39"/>
      <c r="F24" s="40" t="e">
        <f>BAHTTEXT(F23)</f>
        <v>#REF!</v>
      </c>
      <c r="G24" s="8"/>
    </row>
    <row r="25" spans="1:7" x14ac:dyDescent="0.6">
      <c r="B25" s="7"/>
    </row>
    <row r="26" spans="1:7" x14ac:dyDescent="0.6">
      <c r="B26" s="7"/>
    </row>
    <row r="27" spans="1:7" x14ac:dyDescent="0.6">
      <c r="B27" s="7"/>
    </row>
    <row r="28" spans="1:7" x14ac:dyDescent="0.6">
      <c r="A28" s="7" t="s">
        <v>139</v>
      </c>
      <c r="B28" s="4" t="s">
        <v>625</v>
      </c>
    </row>
    <row r="29" spans="1:7" x14ac:dyDescent="0.6">
      <c r="B29" s="4" t="s">
        <v>632</v>
      </c>
    </row>
    <row r="30" spans="1:7" x14ac:dyDescent="0.6">
      <c r="B30" s="4"/>
      <c r="C30" s="2"/>
      <c r="D30" s="2"/>
    </row>
    <row r="31" spans="1:7" x14ac:dyDescent="0.6">
      <c r="A31" s="7" t="s">
        <v>140</v>
      </c>
      <c r="B31" s="4" t="s">
        <v>625</v>
      </c>
      <c r="C31" s="2"/>
      <c r="D31" s="2"/>
    </row>
    <row r="32" spans="1:7" x14ac:dyDescent="0.6">
      <c r="B32" s="4" t="s">
        <v>632</v>
      </c>
    </row>
    <row r="33" spans="1:4" x14ac:dyDescent="0.6">
      <c r="B33" s="4"/>
      <c r="C33" s="2"/>
      <c r="D33" s="2"/>
    </row>
    <row r="34" spans="1:4" x14ac:dyDescent="0.6">
      <c r="A34" s="7" t="s">
        <v>140</v>
      </c>
      <c r="B34" s="4" t="s">
        <v>625</v>
      </c>
      <c r="C34" s="2"/>
      <c r="D34" s="2"/>
    </row>
    <row r="35" spans="1:4" x14ac:dyDescent="0.6">
      <c r="B35" s="4" t="s">
        <v>632</v>
      </c>
    </row>
    <row r="36" spans="1:4" x14ac:dyDescent="0.6">
      <c r="B36" s="4"/>
      <c r="C36" s="2"/>
      <c r="D36" s="2"/>
    </row>
    <row r="37" spans="1:4" x14ac:dyDescent="0.6">
      <c r="A37" s="7" t="s">
        <v>141</v>
      </c>
      <c r="B37" s="4" t="s">
        <v>625</v>
      </c>
    </row>
    <row r="38" spans="1:4" x14ac:dyDescent="0.6">
      <c r="B38" s="4" t="s">
        <v>632</v>
      </c>
    </row>
  </sheetData>
  <phoneticPr fontId="27" type="noConversion"/>
  <printOptions horizontalCentered="1"/>
  <pageMargins left="0.61" right="0.52" top="0.78740157480314965" bottom="0.85" header="0.59055118110236227" footer="0.59055118110236227"/>
  <pageSetup paperSize="9" scale="85" orientation="portrait" horizontalDpi="4294967294" verticalDpi="300" r:id="rId1"/>
  <headerFooter alignWithMargins="0">
    <oddHeader>&amp;R&amp;A</oddHeader>
    <oddFooter>&amp;L&amp;F&amp;C&amp;A&amp;R8/10/2002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view="pageBreakPreview" topLeftCell="A7" zoomScale="75" workbookViewId="0">
      <selection activeCell="B21" sqref="B21"/>
    </sheetView>
  </sheetViews>
  <sheetFormatPr defaultColWidth="9.125" defaultRowHeight="21" x14ac:dyDescent="0.6"/>
  <cols>
    <col min="1" max="1" width="13.25" style="49" customWidth="1"/>
    <col min="2" max="2" width="60.75" style="49" customWidth="1"/>
    <col min="3" max="3" width="20.75" style="49" customWidth="1"/>
    <col min="4" max="4" width="15.75" style="49" customWidth="1"/>
    <col min="5" max="5" width="5.75" style="49" customWidth="1"/>
    <col min="6" max="10" width="14.75" style="49" customWidth="1"/>
    <col min="11" max="11" width="15.75" style="49" customWidth="1"/>
    <col min="12" max="15" width="12.75" style="49" customWidth="1"/>
    <col min="16" max="16384" width="9.125" style="49"/>
  </cols>
  <sheetData>
    <row r="1" spans="1:21" x14ac:dyDescent="0.6">
      <c r="A1" s="168" t="s">
        <v>282</v>
      </c>
      <c r="B1" s="168"/>
      <c r="C1" s="43"/>
      <c r="D1" s="168"/>
    </row>
    <row r="2" spans="1:21" x14ac:dyDescent="0.6">
      <c r="A2" s="169" t="s">
        <v>142</v>
      </c>
      <c r="B2" s="48"/>
      <c r="C2" s="168"/>
      <c r="D2" s="168"/>
    </row>
    <row r="3" spans="1:21" ht="39.6" x14ac:dyDescent="0.6">
      <c r="A3" s="170" t="s">
        <v>120</v>
      </c>
      <c r="B3" s="171" t="s">
        <v>283</v>
      </c>
      <c r="C3" s="170" t="s">
        <v>143</v>
      </c>
      <c r="D3" s="172"/>
    </row>
    <row r="4" spans="1:21" x14ac:dyDescent="0.6">
      <c r="A4" s="173" t="s">
        <v>361</v>
      </c>
      <c r="B4" s="173"/>
      <c r="C4" s="168"/>
      <c r="D4" s="173"/>
    </row>
    <row r="5" spans="1:21" x14ac:dyDescent="0.6">
      <c r="A5" s="168" t="s">
        <v>124</v>
      </c>
      <c r="B5" s="168"/>
      <c r="C5" s="174">
        <v>37950</v>
      </c>
      <c r="D5" s="168"/>
    </row>
    <row r="6" spans="1:21" x14ac:dyDescent="0.6">
      <c r="F6" s="175"/>
      <c r="G6" s="176"/>
      <c r="H6" s="176"/>
      <c r="I6" s="176"/>
      <c r="J6" s="159"/>
      <c r="K6" s="159"/>
      <c r="Q6" s="159"/>
      <c r="R6" s="159"/>
      <c r="S6" s="159"/>
      <c r="T6" s="159"/>
      <c r="U6" s="159"/>
    </row>
    <row r="7" spans="1:21" ht="40.799999999999997" x14ac:dyDescent="0.6">
      <c r="A7" s="177" t="s">
        <v>522</v>
      </c>
      <c r="B7" s="178" t="s">
        <v>125</v>
      </c>
      <c r="C7" s="177" t="s">
        <v>144</v>
      </c>
      <c r="D7" s="177" t="s">
        <v>761</v>
      </c>
      <c r="F7" s="246"/>
      <c r="G7" s="246"/>
      <c r="H7" s="246"/>
      <c r="I7" s="246"/>
      <c r="J7" s="246"/>
      <c r="K7" s="159"/>
      <c r="Q7" s="159"/>
      <c r="R7" s="159"/>
      <c r="S7" s="159"/>
      <c r="T7" s="159"/>
      <c r="U7" s="159"/>
    </row>
    <row r="8" spans="1:21" ht="21.75" customHeight="1" x14ac:dyDescent="0.6">
      <c r="A8" s="155">
        <v>1</v>
      </c>
      <c r="B8" s="180" t="s">
        <v>129</v>
      </c>
      <c r="C8" s="161"/>
      <c r="D8" s="181"/>
      <c r="F8" s="247"/>
      <c r="G8" s="247"/>
      <c r="H8" s="248"/>
      <c r="I8" s="247"/>
      <c r="J8" s="249"/>
      <c r="K8" s="159"/>
      <c r="Q8" s="159"/>
      <c r="R8" s="159"/>
      <c r="S8" s="159"/>
      <c r="T8" s="159"/>
      <c r="U8" s="159"/>
    </row>
    <row r="9" spans="1:21" ht="21.75" customHeight="1" x14ac:dyDescent="0.6">
      <c r="A9" s="155"/>
      <c r="B9" s="180" t="s">
        <v>337</v>
      </c>
      <c r="C9" s="161">
        <f>ทดสอบดิน!$J$14</f>
        <v>13500</v>
      </c>
      <c r="D9" s="181"/>
      <c r="F9" s="247"/>
      <c r="G9" s="247"/>
      <c r="H9" s="248"/>
      <c r="I9" s="247"/>
      <c r="J9" s="249"/>
      <c r="K9" s="159"/>
      <c r="Q9" s="159"/>
      <c r="R9" s="159"/>
      <c r="S9" s="159"/>
      <c r="T9" s="159"/>
      <c r="U9" s="159"/>
    </row>
    <row r="10" spans="1:21" ht="21.75" customHeight="1" x14ac:dyDescent="0.6">
      <c r="A10" s="155"/>
      <c r="B10" s="182" t="s">
        <v>338</v>
      </c>
      <c r="C10" s="161" t="e">
        <f>#REF!</f>
        <v>#REF!</v>
      </c>
      <c r="D10" s="183"/>
      <c r="F10" s="247"/>
      <c r="G10" s="247"/>
      <c r="H10" s="248"/>
      <c r="I10" s="247"/>
      <c r="J10" s="249"/>
      <c r="K10" s="184"/>
      <c r="Q10" s="159"/>
      <c r="R10" s="159"/>
      <c r="S10" s="159"/>
      <c r="T10" s="159"/>
      <c r="U10" s="159"/>
    </row>
    <row r="11" spans="1:21" ht="21.75" customHeight="1" x14ac:dyDescent="0.6">
      <c r="A11" s="155"/>
      <c r="B11" s="160" t="s">
        <v>336</v>
      </c>
      <c r="C11" s="161" t="e">
        <f>#REF!</f>
        <v>#REF!</v>
      </c>
      <c r="D11" s="158"/>
      <c r="F11" s="247"/>
      <c r="G11" s="247"/>
      <c r="H11" s="248"/>
      <c r="I11" s="247"/>
      <c r="J11" s="249"/>
      <c r="K11" s="159"/>
      <c r="Q11" s="159"/>
      <c r="R11" s="159"/>
      <c r="S11" s="159"/>
      <c r="T11" s="159"/>
      <c r="U11" s="159"/>
    </row>
    <row r="12" spans="1:21" ht="21.75" customHeight="1" x14ac:dyDescent="0.6">
      <c r="A12" s="155"/>
      <c r="B12" s="160" t="s">
        <v>69</v>
      </c>
      <c r="C12" s="161" t="e">
        <f>#REF!</f>
        <v>#REF!</v>
      </c>
      <c r="D12" s="158"/>
      <c r="F12" s="247"/>
      <c r="G12" s="247"/>
      <c r="H12" s="248"/>
      <c r="I12" s="247"/>
      <c r="J12" s="249"/>
      <c r="K12" s="159"/>
      <c r="Q12" s="159"/>
      <c r="R12" s="159"/>
      <c r="S12" s="159"/>
      <c r="T12" s="159"/>
      <c r="U12" s="159"/>
    </row>
    <row r="13" spans="1:21" ht="21.75" customHeight="1" x14ac:dyDescent="0.6">
      <c r="A13" s="155"/>
      <c r="B13" s="160" t="s">
        <v>70</v>
      </c>
      <c r="C13" s="161" t="e">
        <f>#REF!</f>
        <v>#REF!</v>
      </c>
      <c r="D13" s="158"/>
      <c r="F13" s="247"/>
      <c r="G13" s="247"/>
      <c r="H13" s="248"/>
      <c r="I13" s="247"/>
      <c r="J13" s="249"/>
      <c r="K13" s="159"/>
      <c r="Q13" s="159"/>
      <c r="R13" s="159"/>
      <c r="S13" s="159"/>
      <c r="T13" s="159"/>
      <c r="U13" s="159"/>
    </row>
    <row r="14" spans="1:21" ht="21.75" customHeight="1" x14ac:dyDescent="0.6">
      <c r="A14" s="155"/>
      <c r="B14" s="160" t="s">
        <v>68</v>
      </c>
      <c r="C14" s="161" t="e">
        <f>#REF!</f>
        <v>#REF!</v>
      </c>
      <c r="D14" s="158"/>
      <c r="F14" s="247"/>
      <c r="G14" s="247"/>
      <c r="H14" s="248"/>
      <c r="I14" s="247"/>
      <c r="J14" s="24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</row>
    <row r="15" spans="1:21" ht="21.75" customHeight="1" x14ac:dyDescent="0.6">
      <c r="A15" s="155"/>
      <c r="B15" s="160" t="s">
        <v>67</v>
      </c>
      <c r="C15" s="161" t="e">
        <f>#REF!</f>
        <v>#REF!</v>
      </c>
      <c r="D15" s="158"/>
      <c r="F15" s="247"/>
      <c r="G15" s="247"/>
      <c r="H15" s="248"/>
      <c r="I15" s="247"/>
      <c r="J15" s="24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</row>
    <row r="16" spans="1:21" ht="21.75" customHeight="1" x14ac:dyDescent="0.6">
      <c r="A16" s="155"/>
      <c r="B16" s="160" t="s">
        <v>66</v>
      </c>
      <c r="C16" s="161" t="e">
        <f>#REF!</f>
        <v>#REF!</v>
      </c>
      <c r="D16" s="158"/>
      <c r="F16" s="247"/>
      <c r="G16" s="247"/>
      <c r="H16" s="248"/>
      <c r="I16" s="247"/>
      <c r="J16" s="24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</row>
    <row r="17" spans="1:21" ht="21.75" customHeight="1" x14ac:dyDescent="0.6">
      <c r="A17" s="155"/>
      <c r="B17" s="185" t="s">
        <v>65</v>
      </c>
      <c r="C17" s="161">
        <f>ท่อส่งน้ำดิบ!$J$24</f>
        <v>919.54</v>
      </c>
      <c r="D17" s="158"/>
      <c r="F17" s="250"/>
      <c r="G17" s="250"/>
      <c r="H17" s="251"/>
      <c r="I17" s="250"/>
      <c r="J17" s="252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</row>
    <row r="18" spans="1:21" ht="21.75" customHeight="1" x14ac:dyDescent="0.6">
      <c r="A18" s="155"/>
      <c r="B18" s="160" t="s">
        <v>348</v>
      </c>
      <c r="C18" s="161">
        <f>เครื่องสูบน้ำบาดาล!$J$25</f>
        <v>49316.800000000003</v>
      </c>
      <c r="D18" s="158"/>
      <c r="F18" s="250"/>
      <c r="G18" s="250"/>
      <c r="H18" s="251"/>
      <c r="I18" s="250"/>
      <c r="J18" s="252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</row>
    <row r="19" spans="1:21" ht="21.75" customHeight="1" x14ac:dyDescent="0.6">
      <c r="A19" s="155"/>
      <c r="B19" s="160" t="s">
        <v>349</v>
      </c>
      <c r="C19" s="161" t="e">
        <f>#REF!</f>
        <v>#REF!</v>
      </c>
      <c r="D19" s="158"/>
      <c r="F19" s="250"/>
      <c r="G19" s="250"/>
      <c r="H19" s="251"/>
      <c r="I19" s="250"/>
      <c r="J19" s="252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</row>
    <row r="20" spans="1:21" ht="21.75" customHeight="1" x14ac:dyDescent="0.6">
      <c r="A20" s="155"/>
      <c r="B20" s="160" t="s">
        <v>350</v>
      </c>
      <c r="C20" s="161">
        <f>'911043'!$J$32</f>
        <v>4344.2300000000005</v>
      </c>
      <c r="D20" s="158"/>
      <c r="F20" s="247"/>
      <c r="G20" s="247"/>
      <c r="H20" s="248"/>
      <c r="I20" s="247"/>
      <c r="J20" s="24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</row>
    <row r="21" spans="1:21" ht="21.75" customHeight="1" x14ac:dyDescent="0.6">
      <c r="A21" s="155"/>
      <c r="B21" s="160" t="s">
        <v>351</v>
      </c>
      <c r="C21" s="161">
        <f>ประสานปากบ่อ!$J$27</f>
        <v>20438.79</v>
      </c>
      <c r="D21" s="158"/>
      <c r="F21" s="247"/>
      <c r="G21" s="247"/>
      <c r="H21" s="248"/>
      <c r="I21" s="247"/>
      <c r="J21" s="24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</row>
    <row r="22" spans="1:21" ht="21.75" customHeight="1" x14ac:dyDescent="0.6">
      <c r="A22" s="155"/>
      <c r="B22" s="160" t="s">
        <v>352</v>
      </c>
      <c r="C22" s="161" t="e">
        <f>#REF!</f>
        <v>#REF!</v>
      </c>
      <c r="D22" s="158"/>
      <c r="F22" s="247"/>
      <c r="G22" s="247"/>
      <c r="H22" s="248"/>
      <c r="I22" s="247"/>
      <c r="J22" s="24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</row>
    <row r="23" spans="1:21" ht="21.75" customHeight="1" x14ac:dyDescent="0.6">
      <c r="A23" s="155"/>
      <c r="B23" s="160" t="s">
        <v>353</v>
      </c>
      <c r="C23" s="161">
        <f>ไฟฟ้า!$J$39</f>
        <v>12900</v>
      </c>
      <c r="D23" s="158"/>
      <c r="F23" s="247"/>
      <c r="G23" s="247"/>
      <c r="H23" s="248"/>
      <c r="I23" s="247"/>
      <c r="J23" s="24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</row>
    <row r="24" spans="1:21" ht="21.75" customHeight="1" x14ac:dyDescent="0.6">
      <c r="A24" s="155"/>
      <c r="B24" s="160" t="s">
        <v>356</v>
      </c>
      <c r="C24" s="161" t="e">
        <f>#REF!</f>
        <v>#REF!</v>
      </c>
      <c r="D24" s="158"/>
      <c r="F24" s="247"/>
      <c r="G24" s="247"/>
      <c r="H24" s="248"/>
      <c r="I24" s="247"/>
      <c r="J24" s="24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</row>
    <row r="25" spans="1:21" ht="21.75" customHeight="1" x14ac:dyDescent="0.6">
      <c r="A25" s="155"/>
      <c r="B25" s="160" t="s">
        <v>357</v>
      </c>
      <c r="C25" s="161" t="e">
        <f>#REF!</f>
        <v>#REF!</v>
      </c>
      <c r="D25" s="158"/>
      <c r="F25" s="247"/>
      <c r="G25" s="247"/>
      <c r="H25" s="248"/>
      <c r="I25" s="247"/>
      <c r="J25" s="253"/>
      <c r="K25" s="159"/>
      <c r="P25" s="159"/>
      <c r="Q25" s="159"/>
      <c r="R25" s="159"/>
      <c r="S25" s="159"/>
      <c r="T25" s="159"/>
      <c r="U25" s="159"/>
    </row>
    <row r="26" spans="1:21" ht="21.75" customHeight="1" x14ac:dyDescent="0.6">
      <c r="A26" s="155"/>
      <c r="B26" s="156" t="s">
        <v>415</v>
      </c>
      <c r="C26" s="157" t="e">
        <f>SUM(C8:C25)</f>
        <v>#REF!</v>
      </c>
      <c r="D26" s="158"/>
      <c r="F26" s="247"/>
      <c r="G26" s="247"/>
      <c r="H26" s="248"/>
      <c r="I26" s="247"/>
      <c r="J26" s="253"/>
      <c r="K26" s="159"/>
      <c r="P26" s="159"/>
      <c r="Q26" s="159"/>
      <c r="R26" s="159"/>
      <c r="S26" s="159"/>
      <c r="T26" s="159"/>
      <c r="U26" s="159"/>
    </row>
    <row r="27" spans="1:21" ht="21.75" customHeight="1" x14ac:dyDescent="0.6">
      <c r="A27" s="155">
        <v>2</v>
      </c>
      <c r="B27" s="160" t="s">
        <v>130</v>
      </c>
      <c r="C27" s="161"/>
      <c r="D27" s="158"/>
      <c r="F27" s="247"/>
      <c r="G27" s="247"/>
      <c r="H27" s="248"/>
      <c r="I27" s="247"/>
      <c r="J27" s="24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</row>
    <row r="28" spans="1:21" ht="21.75" customHeight="1" x14ac:dyDescent="0.6">
      <c r="A28" s="155"/>
      <c r="B28" s="160" t="s">
        <v>339</v>
      </c>
      <c r="C28" s="161">
        <f>ท่อจ่ายน้ำ!$J$34</f>
        <v>8014.6500000000005</v>
      </c>
      <c r="D28" s="158"/>
      <c r="F28" s="247"/>
      <c r="G28" s="247"/>
      <c r="H28" s="248"/>
      <c r="I28" s="247"/>
      <c r="J28" s="24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</row>
    <row r="29" spans="1:21" ht="21.75" customHeight="1" x14ac:dyDescent="0.6">
      <c r="A29" s="155"/>
      <c r="B29" s="156" t="s">
        <v>416</v>
      </c>
      <c r="C29" s="157">
        <f>SUM(C27:C28)</f>
        <v>8014.6500000000005</v>
      </c>
      <c r="D29" s="158"/>
      <c r="F29" s="247"/>
      <c r="G29" s="247"/>
      <c r="H29" s="248"/>
      <c r="I29" s="247"/>
      <c r="J29" s="253"/>
      <c r="K29" s="159"/>
      <c r="P29" s="159"/>
      <c r="Q29" s="159"/>
      <c r="R29" s="159"/>
      <c r="S29" s="159"/>
      <c r="T29" s="159"/>
      <c r="U29" s="159"/>
    </row>
    <row r="30" spans="1:21" ht="21.75" customHeight="1" x14ac:dyDescent="0.6">
      <c r="A30" s="155"/>
      <c r="B30" s="160"/>
      <c r="C30" s="161"/>
      <c r="D30" s="158"/>
      <c r="F30" s="247"/>
      <c r="G30" s="247"/>
      <c r="H30" s="248"/>
      <c r="I30" s="247"/>
      <c r="J30" s="253"/>
      <c r="K30" s="159"/>
      <c r="P30" s="159"/>
      <c r="Q30" s="159"/>
      <c r="R30" s="159"/>
      <c r="S30" s="159"/>
      <c r="T30" s="159"/>
      <c r="U30" s="159"/>
    </row>
    <row r="31" spans="1:21" ht="21.75" customHeight="1" x14ac:dyDescent="0.6">
      <c r="A31" s="162"/>
      <c r="B31" s="163" t="s">
        <v>354</v>
      </c>
      <c r="C31" s="164" t="e">
        <f>C26+C29</f>
        <v>#REF!</v>
      </c>
      <c r="D31" s="165"/>
      <c r="F31" s="247"/>
      <c r="G31" s="247"/>
      <c r="H31" s="248"/>
      <c r="I31" s="247"/>
      <c r="J31" s="253"/>
      <c r="K31" s="159"/>
      <c r="P31" s="159"/>
      <c r="Q31" s="159"/>
      <c r="R31" s="159"/>
      <c r="S31" s="159"/>
      <c r="T31" s="159"/>
      <c r="U31" s="159"/>
    </row>
    <row r="32" spans="1:21" ht="21.75" customHeight="1" x14ac:dyDescent="0.6">
      <c r="A32" s="119"/>
      <c r="B32" s="166"/>
      <c r="C32" s="167"/>
      <c r="F32" s="254" t="s">
        <v>375</v>
      </c>
      <c r="G32" s="254" t="s">
        <v>127</v>
      </c>
      <c r="H32" s="255" t="s">
        <v>376</v>
      </c>
      <c r="I32" s="255" t="s">
        <v>377</v>
      </c>
      <c r="J32" s="253"/>
      <c r="K32" s="159"/>
      <c r="P32" s="159"/>
      <c r="Q32" s="159"/>
      <c r="R32" s="159"/>
      <c r="S32" s="159"/>
      <c r="T32" s="159"/>
      <c r="U32" s="159"/>
    </row>
    <row r="33" spans="1:21" ht="21.75" customHeight="1" x14ac:dyDescent="0.6">
      <c r="A33" s="119"/>
      <c r="B33" s="166"/>
      <c r="C33" s="167"/>
      <c r="F33" s="259">
        <f>'FACTOR F'!B11</f>
        <v>0.5</v>
      </c>
      <c r="G33" s="258">
        <f>'FACTOR F'!I11</f>
        <v>1.3073999999999999</v>
      </c>
      <c r="H33" s="260">
        <f t="shared" ref="H33:I36" si="0">F34-F33</f>
        <v>0.5</v>
      </c>
      <c r="I33" s="257">
        <f t="shared" si="0"/>
        <v>-2.3999999999999577E-3</v>
      </c>
      <c r="J33" s="253"/>
      <c r="K33" s="159"/>
      <c r="P33" s="159"/>
      <c r="Q33" s="159"/>
      <c r="R33" s="159"/>
      <c r="S33" s="159"/>
      <c r="T33" s="159"/>
      <c r="U33" s="159"/>
    </row>
    <row r="34" spans="1:21" ht="21.75" customHeight="1" x14ac:dyDescent="0.6">
      <c r="A34" s="119"/>
      <c r="B34" s="166"/>
      <c r="C34" s="167"/>
      <c r="F34" s="256">
        <f>'FACTOR F'!B12</f>
        <v>1</v>
      </c>
      <c r="G34" s="258">
        <f>'FACTOR F'!I12</f>
        <v>1.3049999999999999</v>
      </c>
      <c r="H34" s="260">
        <f t="shared" si="0"/>
        <v>1</v>
      </c>
      <c r="I34" s="257">
        <f t="shared" si="0"/>
        <v>-1.4999999999998348E-3</v>
      </c>
      <c r="J34" s="253"/>
      <c r="K34" s="159"/>
      <c r="P34" s="159"/>
      <c r="Q34" s="159"/>
      <c r="R34" s="159"/>
      <c r="S34" s="159"/>
      <c r="T34" s="159"/>
      <c r="U34" s="159"/>
    </row>
    <row r="35" spans="1:21" ht="21.75" customHeight="1" x14ac:dyDescent="0.6">
      <c r="A35" s="119"/>
      <c r="B35" s="166"/>
      <c r="C35" s="167"/>
      <c r="F35" s="256">
        <f>'FACTOR F'!B13</f>
        <v>2</v>
      </c>
      <c r="G35" s="258">
        <f>'FACTOR F'!I13</f>
        <v>1.3035000000000001</v>
      </c>
      <c r="H35" s="260">
        <f t="shared" si="0"/>
        <v>3</v>
      </c>
      <c r="I35" s="257">
        <f t="shared" si="0"/>
        <v>-3.2000000000000917E-3</v>
      </c>
      <c r="J35" s="253"/>
      <c r="K35" s="159"/>
      <c r="P35" s="159"/>
      <c r="Q35" s="159"/>
      <c r="R35" s="159"/>
      <c r="S35" s="159"/>
      <c r="T35" s="159"/>
      <c r="U35" s="159"/>
    </row>
    <row r="36" spans="1:21" ht="21.75" customHeight="1" x14ac:dyDescent="0.6">
      <c r="A36" s="119"/>
      <c r="B36" s="166"/>
      <c r="C36" s="167"/>
      <c r="F36" s="256">
        <f>'FACTOR F'!B14</f>
        <v>5</v>
      </c>
      <c r="G36" s="258">
        <f>'FACTOR F'!I14</f>
        <v>1.3003</v>
      </c>
      <c r="H36" s="260">
        <f t="shared" si="0"/>
        <v>5</v>
      </c>
      <c r="I36" s="257">
        <f t="shared" si="0"/>
        <v>-6.0000000000000053E-3</v>
      </c>
      <c r="J36" s="253"/>
      <c r="K36" s="159"/>
      <c r="P36" s="159"/>
      <c r="Q36" s="159"/>
      <c r="R36" s="159"/>
      <c r="S36" s="159"/>
      <c r="T36" s="159"/>
      <c r="U36" s="159"/>
    </row>
    <row r="37" spans="1:21" ht="21.75" customHeight="1" x14ac:dyDescent="0.6">
      <c r="A37" s="116" t="s">
        <v>345</v>
      </c>
      <c r="B37" s="116"/>
      <c r="F37" s="256">
        <f>'FACTOR F'!B15</f>
        <v>10</v>
      </c>
      <c r="G37" s="258">
        <f>'FACTOR F'!I15</f>
        <v>1.2943</v>
      </c>
      <c r="H37" s="260">
        <f>F37</f>
        <v>10</v>
      </c>
      <c r="I37" s="257">
        <f>G37</f>
        <v>1.2943</v>
      </c>
      <c r="J37" s="253"/>
      <c r="K37" s="159"/>
      <c r="P37" s="159"/>
      <c r="Q37" s="159"/>
      <c r="R37" s="159"/>
      <c r="S37" s="159"/>
      <c r="T37" s="159"/>
      <c r="U37" s="159"/>
    </row>
    <row r="38" spans="1:21" ht="21.75" customHeight="1" x14ac:dyDescent="0.6">
      <c r="A38" s="49" t="s">
        <v>346</v>
      </c>
      <c r="B38" s="116"/>
      <c r="F38" s="265" t="e">
        <f>C31/1000000</f>
        <v>#REF!</v>
      </c>
      <c r="G38" s="266" t="e">
        <f>IF($F$38&lt;=$F$34,$G$33,IF($F$38&lt;(VLOOKUP($F$38,$F$33:$I$37,1)+(VLOOKUP($F$38,$F$33:$I$37,3)/2)),ROUNDDOWN(VLOOKUP($F$38,$F$33:$I$37,2)-ABS(($F$38-VLOOKUP($F$38,$F$33:$I$37,1))*(VLOOKUP($F$38,$F$33:$I$37,4))/VLOOKUP($F$38,$F$33:$I$37,3)),4),ROUNDDOWN(VLOOKUP(VLOOKUP($F$38,$F$33:$I$37,1)+VLOOKUP($F$38,$F$33:$I$37,3),$F$33:$I$37,2)+(ABS(VLOOKUP($F$38,$F$33:$I$37,4))*((VLOOKUP(VLOOKUP($F$38,$F$33:$I$37,1)+VLOOKUP($F$38,$F$33:$I$37,3),$F$33:$I$37,1))-$F$38)/VLOOKUP($F$38,$F$33:$I$37,3)),4)))</f>
        <v>#REF!</v>
      </c>
      <c r="H38" s="248"/>
      <c r="I38" s="247"/>
      <c r="J38" s="253"/>
      <c r="K38" s="159"/>
      <c r="P38" s="159"/>
      <c r="Q38" s="159"/>
      <c r="R38" s="159"/>
      <c r="S38" s="159"/>
      <c r="T38" s="159"/>
      <c r="U38" s="159"/>
    </row>
    <row r="39" spans="1:21" ht="21.75" customHeight="1" x14ac:dyDescent="0.6">
      <c r="A39" s="105"/>
      <c r="B39" s="116"/>
      <c r="F39" s="247"/>
      <c r="G39" s="247"/>
      <c r="H39" s="248"/>
      <c r="I39" s="247"/>
      <c r="J39" s="253"/>
      <c r="K39" s="159"/>
      <c r="P39" s="159"/>
      <c r="Q39" s="159"/>
      <c r="R39" s="159"/>
      <c r="S39" s="159"/>
      <c r="T39" s="159"/>
      <c r="U39" s="159"/>
    </row>
    <row r="40" spans="1:21" ht="21.75" customHeight="1" x14ac:dyDescent="0.6">
      <c r="A40" s="116" t="s">
        <v>347</v>
      </c>
      <c r="B40" s="116"/>
      <c r="F40" s="247"/>
      <c r="G40" s="247"/>
      <c r="H40" s="248"/>
      <c r="I40" s="247"/>
      <c r="J40" s="253"/>
      <c r="K40" s="159"/>
      <c r="P40" s="159"/>
      <c r="Q40" s="159"/>
      <c r="R40" s="159"/>
      <c r="S40" s="159"/>
      <c r="T40" s="159"/>
      <c r="U40" s="159"/>
    </row>
    <row r="41" spans="1:21" ht="21.75" customHeight="1" x14ac:dyDescent="0.6">
      <c r="A41" s="49" t="s">
        <v>346</v>
      </c>
      <c r="B41" s="116"/>
      <c r="F41" s="247"/>
      <c r="G41" s="247"/>
      <c r="H41" s="248"/>
      <c r="I41" s="247"/>
      <c r="J41" s="253"/>
      <c r="K41" s="159"/>
      <c r="P41" s="159"/>
      <c r="Q41" s="159"/>
      <c r="R41" s="159"/>
      <c r="S41" s="159"/>
      <c r="T41" s="159"/>
      <c r="U41" s="159"/>
    </row>
    <row r="42" spans="1:21" ht="21.75" customHeight="1" x14ac:dyDescent="0.6">
      <c r="A42" s="119"/>
      <c r="B42" s="166"/>
      <c r="C42" s="167"/>
      <c r="F42" s="247"/>
      <c r="G42" s="247"/>
      <c r="H42" s="248"/>
      <c r="I42" s="247"/>
      <c r="J42" s="253"/>
      <c r="K42" s="159"/>
      <c r="P42" s="159"/>
      <c r="Q42" s="159"/>
      <c r="R42" s="159"/>
      <c r="S42" s="159"/>
      <c r="T42" s="159"/>
      <c r="U42" s="159"/>
    </row>
    <row r="43" spans="1:21" ht="21.75" customHeight="1" x14ac:dyDescent="0.6">
      <c r="A43" s="119"/>
      <c r="B43" s="166"/>
      <c r="C43" s="167"/>
      <c r="F43" s="247"/>
      <c r="G43" s="247"/>
      <c r="H43" s="248"/>
      <c r="I43" s="247"/>
      <c r="J43" s="253"/>
      <c r="K43" s="159"/>
      <c r="P43" s="159"/>
      <c r="Q43" s="159"/>
      <c r="R43" s="159"/>
      <c r="S43" s="159"/>
      <c r="T43" s="159"/>
      <c r="U43" s="159"/>
    </row>
    <row r="44" spans="1:21" ht="21.75" customHeight="1" x14ac:dyDescent="0.6">
      <c r="A44" s="119"/>
      <c r="B44" s="166"/>
      <c r="C44" s="167"/>
      <c r="F44" s="247"/>
      <c r="G44" s="247"/>
      <c r="H44" s="248"/>
      <c r="I44" s="247"/>
      <c r="J44" s="253"/>
      <c r="K44" s="159"/>
      <c r="P44" s="159"/>
      <c r="Q44" s="159"/>
      <c r="R44" s="159"/>
      <c r="S44" s="159"/>
      <c r="T44" s="159"/>
      <c r="U44" s="159"/>
    </row>
    <row r="45" spans="1:21" x14ac:dyDescent="0.6">
      <c r="A45" s="168" t="s">
        <v>282</v>
      </c>
      <c r="B45" s="168"/>
      <c r="C45" s="43"/>
      <c r="D45" s="168"/>
    </row>
    <row r="46" spans="1:21" x14ac:dyDescent="0.6">
      <c r="A46" s="169" t="s">
        <v>142</v>
      </c>
      <c r="B46" s="48"/>
      <c r="C46" s="168"/>
      <c r="D46" s="168"/>
    </row>
    <row r="47" spans="1:21" ht="39.6" x14ac:dyDescent="0.6">
      <c r="A47" s="170" t="s">
        <v>120</v>
      </c>
      <c r="B47" s="171" t="s">
        <v>283</v>
      </c>
      <c r="C47" s="170" t="s">
        <v>143</v>
      </c>
      <c r="D47" s="172"/>
    </row>
    <row r="48" spans="1:21" x14ac:dyDescent="0.6">
      <c r="A48" s="173" t="str">
        <f>$A$4</f>
        <v>สำนักบริหารจัดการน้ำ  กรมทรัพยากรน้ำ</v>
      </c>
      <c r="B48" s="173"/>
      <c r="C48" s="168"/>
      <c r="D48" s="173"/>
    </row>
    <row r="49" spans="1:21" x14ac:dyDescent="0.6">
      <c r="A49" s="168" t="s">
        <v>124</v>
      </c>
      <c r="B49" s="168"/>
      <c r="C49" s="174">
        <f>$C$5</f>
        <v>37950</v>
      </c>
      <c r="D49" s="168"/>
    </row>
    <row r="50" spans="1:21" x14ac:dyDescent="0.6">
      <c r="F50" s="175"/>
      <c r="G50" s="176"/>
      <c r="H50" s="176"/>
      <c r="I50" s="176"/>
      <c r="J50" s="159"/>
      <c r="K50" s="159"/>
      <c r="Q50" s="159"/>
      <c r="R50" s="159"/>
      <c r="S50" s="159"/>
      <c r="T50" s="159"/>
      <c r="U50" s="159"/>
    </row>
    <row r="51" spans="1:21" ht="40.799999999999997" x14ac:dyDescent="0.6">
      <c r="A51" s="177" t="s">
        <v>522</v>
      </c>
      <c r="B51" s="178" t="s">
        <v>125</v>
      </c>
      <c r="C51" s="177" t="s">
        <v>144</v>
      </c>
      <c r="D51" s="177" t="s">
        <v>761</v>
      </c>
      <c r="F51" s="246"/>
      <c r="G51" s="246"/>
      <c r="H51" s="246"/>
      <c r="I51" s="246"/>
      <c r="J51" s="246"/>
      <c r="K51" s="159"/>
      <c r="Q51" s="159"/>
      <c r="R51" s="159"/>
      <c r="S51" s="159"/>
      <c r="T51" s="159"/>
      <c r="U51" s="159"/>
    </row>
    <row r="52" spans="1:21" ht="21.75" customHeight="1" x14ac:dyDescent="0.6">
      <c r="A52" s="235"/>
      <c r="B52" s="236" t="s">
        <v>355</v>
      </c>
      <c r="C52" s="237" t="e">
        <f>C31</f>
        <v>#REF!</v>
      </c>
      <c r="D52" s="238"/>
      <c r="F52" s="247"/>
      <c r="G52" s="247"/>
      <c r="H52" s="248"/>
      <c r="I52" s="247"/>
      <c r="J52" s="253"/>
      <c r="K52" s="159"/>
      <c r="P52" s="159"/>
      <c r="Q52" s="159"/>
      <c r="R52" s="159"/>
      <c r="S52" s="159"/>
      <c r="T52" s="159"/>
      <c r="U52" s="159"/>
    </row>
    <row r="53" spans="1:21" ht="21.75" customHeight="1" x14ac:dyDescent="0.6">
      <c r="A53" s="155">
        <v>3</v>
      </c>
      <c r="B53" s="160" t="s">
        <v>631</v>
      </c>
      <c r="C53" s="161"/>
      <c r="D53" s="158"/>
      <c r="F53" s="247"/>
      <c r="G53" s="247"/>
      <c r="H53" s="248"/>
      <c r="I53" s="247"/>
      <c r="J53" s="24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 ht="21.75" customHeight="1" x14ac:dyDescent="0.6">
      <c r="A54" s="155"/>
      <c r="B54" s="160" t="s">
        <v>358</v>
      </c>
      <c r="C54" s="161">
        <f>เครื่องสูบน้ำบาดาล!$J$13</f>
        <v>22500</v>
      </c>
      <c r="D54" s="158"/>
      <c r="F54" s="247"/>
      <c r="G54" s="247"/>
      <c r="H54" s="248"/>
      <c r="I54" s="247"/>
      <c r="J54" s="24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 ht="21.75" customHeight="1" x14ac:dyDescent="0.6">
      <c r="A55" s="155"/>
      <c r="B55" s="160" t="s">
        <v>359</v>
      </c>
      <c r="C55" s="161" t="e">
        <f>#REF!</f>
        <v>#REF!</v>
      </c>
      <c r="D55" s="158"/>
      <c r="F55" s="247"/>
      <c r="G55" s="247"/>
      <c r="H55" s="248"/>
      <c r="I55" s="247"/>
      <c r="J55" s="24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 ht="21.75" customHeight="1" x14ac:dyDescent="0.6">
      <c r="A56" s="155"/>
      <c r="B56" s="185" t="s">
        <v>344</v>
      </c>
      <c r="C56" s="161">
        <f>ไฟฟ้า!$J$23</f>
        <v>112495</v>
      </c>
      <c r="D56" s="158"/>
      <c r="F56" s="213"/>
      <c r="G56" s="213"/>
      <c r="H56" s="251"/>
      <c r="I56" s="213"/>
      <c r="J56" s="261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 ht="21.75" customHeight="1" x14ac:dyDescent="0.6">
      <c r="A57" s="155"/>
      <c r="B57" s="160" t="s">
        <v>340</v>
      </c>
      <c r="C57" s="161" t="e">
        <f>#REF!</f>
        <v>#REF!</v>
      </c>
      <c r="D57" s="158"/>
      <c r="F57" s="247"/>
      <c r="G57" s="247"/>
      <c r="H57" s="248"/>
      <c r="I57" s="247"/>
      <c r="J57" s="196"/>
      <c r="K57" s="159"/>
      <c r="P57" s="159"/>
      <c r="Q57" s="159"/>
      <c r="R57" s="159"/>
      <c r="S57" s="159"/>
      <c r="T57" s="159"/>
      <c r="U57" s="159"/>
    </row>
    <row r="58" spans="1:21" ht="21.75" customHeight="1" x14ac:dyDescent="0.6">
      <c r="A58" s="155"/>
      <c r="B58" s="160" t="s">
        <v>341</v>
      </c>
      <c r="C58" s="161">
        <f>เครื่องมือฯประปา!$J$29</f>
        <v>0</v>
      </c>
      <c r="D58" s="158"/>
      <c r="F58" s="247"/>
      <c r="G58" s="247"/>
      <c r="H58" s="248"/>
      <c r="I58" s="247"/>
      <c r="J58" s="253"/>
      <c r="K58" s="159"/>
      <c r="P58" s="159"/>
      <c r="Q58" s="159"/>
      <c r="R58" s="159"/>
      <c r="S58" s="159"/>
      <c r="T58" s="159"/>
      <c r="U58" s="159"/>
    </row>
    <row r="59" spans="1:21" ht="21.75" customHeight="1" x14ac:dyDescent="0.6">
      <c r="A59" s="155"/>
      <c r="B59" s="160" t="s">
        <v>342</v>
      </c>
      <c r="C59" s="161">
        <f>งานดิน!$J$14</f>
        <v>0</v>
      </c>
      <c r="D59" s="158"/>
      <c r="F59" s="247"/>
      <c r="G59" s="247"/>
      <c r="H59" s="248"/>
      <c r="I59" s="247"/>
      <c r="J59" s="253"/>
      <c r="K59" s="159"/>
      <c r="P59" s="159"/>
      <c r="Q59" s="159"/>
      <c r="R59" s="159"/>
      <c r="S59" s="159"/>
      <c r="T59" s="159"/>
      <c r="U59" s="159"/>
    </row>
    <row r="60" spans="1:21" ht="21.75" customHeight="1" x14ac:dyDescent="0.6">
      <c r="A60" s="155"/>
      <c r="B60" s="160" t="s">
        <v>343</v>
      </c>
      <c r="C60" s="161">
        <f>'กรด-ด่าง'!$J$14</f>
        <v>0</v>
      </c>
      <c r="D60" s="158"/>
      <c r="F60" s="247"/>
      <c r="G60" s="247"/>
      <c r="H60" s="248"/>
      <c r="I60" s="247"/>
      <c r="J60" s="253"/>
      <c r="K60" s="159"/>
      <c r="P60" s="159"/>
      <c r="Q60" s="159"/>
      <c r="R60" s="159"/>
      <c r="S60" s="159"/>
      <c r="T60" s="159"/>
      <c r="U60" s="159"/>
    </row>
    <row r="61" spans="1:21" ht="21.75" customHeight="1" x14ac:dyDescent="0.6">
      <c r="A61" s="155"/>
      <c r="B61" s="160" t="s">
        <v>360</v>
      </c>
      <c r="C61" s="161">
        <v>82600</v>
      </c>
      <c r="D61" s="158"/>
      <c r="F61" s="247"/>
      <c r="G61" s="247"/>
      <c r="H61" s="248"/>
      <c r="I61" s="247"/>
      <c r="J61" s="253"/>
      <c r="K61" s="159"/>
      <c r="P61" s="159"/>
      <c r="Q61" s="159"/>
      <c r="R61" s="159"/>
      <c r="S61" s="159"/>
      <c r="T61" s="159"/>
      <c r="U61" s="159"/>
    </row>
    <row r="62" spans="1:21" ht="21.75" customHeight="1" x14ac:dyDescent="0.6">
      <c r="A62" s="155"/>
      <c r="B62" s="156" t="s">
        <v>419</v>
      </c>
      <c r="C62" s="243" t="e">
        <f>SUM(C54:C61)</f>
        <v>#REF!</v>
      </c>
      <c r="D62" s="158"/>
      <c r="F62" s="247"/>
      <c r="G62" s="247"/>
      <c r="H62" s="248"/>
      <c r="I62" s="247"/>
      <c r="J62" s="253"/>
      <c r="K62" s="159"/>
      <c r="P62" s="159"/>
      <c r="Q62" s="159"/>
      <c r="R62" s="159"/>
      <c r="S62" s="159"/>
      <c r="T62" s="159"/>
      <c r="U62" s="159"/>
    </row>
    <row r="63" spans="1:21" x14ac:dyDescent="0.6">
      <c r="A63" s="186"/>
      <c r="B63" s="187" t="s">
        <v>373</v>
      </c>
      <c r="C63" s="188" t="e">
        <f>C26+C29+C62</f>
        <v>#REF!</v>
      </c>
      <c r="D63" s="189"/>
      <c r="F63" s="262"/>
      <c r="G63" s="262"/>
      <c r="H63" s="262"/>
      <c r="I63" s="262"/>
      <c r="J63" s="263"/>
      <c r="K63" s="159"/>
      <c r="P63" s="159"/>
      <c r="Q63" s="159"/>
      <c r="R63" s="159"/>
      <c r="S63" s="159"/>
      <c r="T63" s="159"/>
      <c r="U63" s="159"/>
    </row>
    <row r="64" spans="1:21" x14ac:dyDescent="0.6">
      <c r="A64" s="190" t="s">
        <v>138</v>
      </c>
      <c r="B64" s="191"/>
      <c r="C64" s="192" t="e">
        <f>BAHTTEXT(C63)</f>
        <v>#REF!</v>
      </c>
      <c r="D64" s="193"/>
      <c r="F64" s="159"/>
      <c r="G64" s="264"/>
      <c r="H64" s="194"/>
      <c r="I64" s="176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 x14ac:dyDescent="0.6">
      <c r="A65" s="105"/>
      <c r="F65" s="244"/>
      <c r="G65" s="244"/>
      <c r="H65" s="245"/>
      <c r="I65" s="245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 x14ac:dyDescent="0.6">
      <c r="A66" s="105"/>
      <c r="F66" s="244"/>
      <c r="G66" s="244"/>
      <c r="H66" s="245"/>
      <c r="I66" s="245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 x14ac:dyDescent="0.6">
      <c r="F67" s="159"/>
      <c r="G67" s="195"/>
      <c r="H67" s="159"/>
      <c r="I67" s="195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 x14ac:dyDescent="0.6">
      <c r="A68" s="116"/>
      <c r="B68" s="116"/>
      <c r="F68" s="159"/>
      <c r="G68" s="195"/>
      <c r="H68" s="159"/>
      <c r="I68" s="195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 x14ac:dyDescent="0.6">
      <c r="B69" s="116"/>
      <c r="F69" s="159"/>
      <c r="G69" s="195"/>
      <c r="H69" s="159"/>
      <c r="I69" s="195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 x14ac:dyDescent="0.6">
      <c r="A70" s="105"/>
      <c r="B70" s="116"/>
      <c r="F70" s="159"/>
      <c r="G70" s="195"/>
      <c r="H70" s="159"/>
      <c r="I70" s="195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 x14ac:dyDescent="0.6">
      <c r="A71" s="116"/>
      <c r="B71" s="116"/>
      <c r="F71" s="159"/>
      <c r="G71" s="195"/>
      <c r="H71" s="196"/>
      <c r="I71" s="195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 x14ac:dyDescent="0.6">
      <c r="B72" s="116"/>
      <c r="F72" s="159"/>
      <c r="G72" s="195"/>
      <c r="H72" s="196"/>
      <c r="I72" s="195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 x14ac:dyDescent="0.6">
      <c r="B73" s="116"/>
      <c r="F73" s="159"/>
      <c r="G73" s="195"/>
      <c r="H73" s="196"/>
      <c r="I73" s="195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 x14ac:dyDescent="0.6">
      <c r="B74" s="116"/>
      <c r="F74" s="159"/>
      <c r="G74" s="195"/>
      <c r="H74" s="196"/>
      <c r="I74" s="195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 x14ac:dyDescent="0.6">
      <c r="B75" s="116"/>
      <c r="F75" s="159"/>
      <c r="G75" s="195"/>
      <c r="H75" s="196"/>
      <c r="I75" s="195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 x14ac:dyDescent="0.6">
      <c r="B76" s="116"/>
      <c r="F76" s="159"/>
      <c r="G76" s="195"/>
      <c r="H76" s="196"/>
      <c r="I76" s="195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 x14ac:dyDescent="0.6">
      <c r="B77" s="116"/>
      <c r="F77" s="159"/>
      <c r="G77" s="195"/>
      <c r="H77" s="196"/>
      <c r="I77" s="195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 x14ac:dyDescent="0.6">
      <c r="B78" s="116"/>
      <c r="F78" s="159"/>
      <c r="G78" s="195"/>
      <c r="H78" s="196"/>
      <c r="I78" s="195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 x14ac:dyDescent="0.6">
      <c r="B79" s="116"/>
      <c r="F79" s="159"/>
      <c r="G79" s="195"/>
      <c r="H79" s="196"/>
      <c r="I79" s="195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 x14ac:dyDescent="0.6">
      <c r="B80" s="116"/>
      <c r="F80" s="159"/>
      <c r="G80" s="195"/>
      <c r="H80" s="196"/>
      <c r="I80" s="195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 x14ac:dyDescent="0.6">
      <c r="A81" s="116" t="s">
        <v>345</v>
      </c>
      <c r="B81" s="116"/>
      <c r="F81" s="159"/>
      <c r="G81" s="195"/>
      <c r="H81" s="196"/>
      <c r="I81" s="195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 x14ac:dyDescent="0.6">
      <c r="A82" s="49" t="s">
        <v>346</v>
      </c>
      <c r="B82" s="116"/>
      <c r="F82" s="159"/>
      <c r="G82" s="195"/>
      <c r="H82" s="196"/>
      <c r="I82" s="195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 x14ac:dyDescent="0.6">
      <c r="A83" s="105"/>
      <c r="B83" s="116"/>
      <c r="F83" s="199"/>
      <c r="G83" s="197"/>
      <c r="H83" s="159"/>
      <c r="I83" s="200"/>
      <c r="J83" s="159"/>
      <c r="K83" s="198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 x14ac:dyDescent="0.6">
      <c r="A84" s="116" t="s">
        <v>347</v>
      </c>
      <c r="B84" s="116"/>
      <c r="F84" s="199"/>
      <c r="G84" s="197"/>
      <c r="H84" s="159"/>
      <c r="I84" s="200"/>
      <c r="J84" s="159"/>
      <c r="K84" s="198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 x14ac:dyDescent="0.6">
      <c r="A85" s="49" t="s">
        <v>346</v>
      </c>
      <c r="B85" s="116"/>
      <c r="F85" s="199"/>
      <c r="G85" s="197"/>
      <c r="H85" s="159"/>
      <c r="I85" s="200"/>
      <c r="J85" s="159"/>
      <c r="K85" s="198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 x14ac:dyDescent="0.6">
      <c r="A86" s="105"/>
      <c r="B86" s="116"/>
      <c r="F86" s="199"/>
      <c r="G86" s="197"/>
      <c r="H86" s="159"/>
      <c r="I86" s="200"/>
      <c r="J86" s="159"/>
      <c r="K86" s="198"/>
      <c r="L86" s="159"/>
      <c r="M86" s="159"/>
      <c r="N86" s="159"/>
      <c r="O86" s="159"/>
      <c r="P86" s="198"/>
      <c r="Q86" s="198"/>
      <c r="R86" s="198"/>
      <c r="S86" s="198"/>
      <c r="T86" s="198"/>
      <c r="U86" s="198"/>
    </row>
    <row r="87" spans="1:21" x14ac:dyDescent="0.6">
      <c r="B87" s="116"/>
      <c r="F87" s="199"/>
      <c r="G87" s="197"/>
      <c r="H87" s="159"/>
      <c r="I87" s="200"/>
      <c r="J87" s="159"/>
      <c r="K87" s="198"/>
      <c r="L87" s="159"/>
      <c r="M87" s="159"/>
      <c r="N87" s="159"/>
      <c r="O87" s="159"/>
      <c r="P87" s="159"/>
      <c r="Q87" s="159"/>
      <c r="R87" s="159"/>
      <c r="S87" s="159"/>
    </row>
    <row r="88" spans="1:21" x14ac:dyDescent="0.6">
      <c r="B88" s="119"/>
      <c r="F88" s="199"/>
      <c r="G88" s="197"/>
      <c r="H88" s="159"/>
      <c r="I88" s="200"/>
      <c r="J88" s="159"/>
      <c r="K88" s="198"/>
      <c r="L88" s="159"/>
      <c r="M88" s="159"/>
      <c r="N88" s="159"/>
      <c r="O88" s="159"/>
      <c r="P88" s="159"/>
      <c r="Q88" s="159"/>
      <c r="R88" s="159"/>
      <c r="S88" s="159"/>
    </row>
    <row r="89" spans="1:21" x14ac:dyDescent="0.6">
      <c r="A89" s="168" t="s">
        <v>282</v>
      </c>
      <c r="B89" s="168"/>
      <c r="C89" s="43"/>
      <c r="D89" s="168"/>
      <c r="F89" s="199"/>
      <c r="G89" s="197"/>
      <c r="H89" s="159"/>
      <c r="I89" s="200"/>
      <c r="J89" s="159"/>
      <c r="K89" s="198"/>
      <c r="L89" s="159"/>
      <c r="M89" s="159"/>
      <c r="N89" s="159"/>
      <c r="O89" s="159"/>
      <c r="P89" s="159"/>
      <c r="Q89" s="159"/>
      <c r="R89" s="159"/>
      <c r="S89" s="159"/>
    </row>
    <row r="90" spans="1:21" x14ac:dyDescent="0.6">
      <c r="A90" s="169" t="s">
        <v>142</v>
      </c>
      <c r="B90" s="48"/>
      <c r="C90" s="168"/>
      <c r="D90" s="168"/>
      <c r="F90" s="199"/>
      <c r="G90" s="197"/>
      <c r="H90" s="159"/>
      <c r="I90" s="200"/>
      <c r="J90" s="159"/>
      <c r="K90" s="198"/>
      <c r="L90" s="159"/>
    </row>
    <row r="91" spans="1:21" ht="39.6" x14ac:dyDescent="0.6">
      <c r="A91" s="170" t="s">
        <v>120</v>
      </c>
      <c r="B91" s="171" t="s">
        <v>283</v>
      </c>
      <c r="C91" s="170" t="s">
        <v>143</v>
      </c>
      <c r="D91" s="172"/>
      <c r="F91" s="199"/>
      <c r="G91" s="197"/>
      <c r="H91" s="159"/>
      <c r="I91" s="200"/>
      <c r="J91" s="159"/>
      <c r="K91" s="198"/>
      <c r="L91" s="159"/>
    </row>
    <row r="92" spans="1:21" x14ac:dyDescent="0.6">
      <c r="A92" s="173" t="str">
        <f>$A$4</f>
        <v>สำนักบริหารจัดการน้ำ  กรมทรัพยากรน้ำ</v>
      </c>
      <c r="B92" s="173"/>
      <c r="C92" s="168"/>
      <c r="D92" s="173"/>
      <c r="F92" s="199"/>
      <c r="G92" s="197"/>
      <c r="H92" s="159"/>
      <c r="I92" s="200"/>
      <c r="J92" s="159"/>
      <c r="K92" s="198"/>
      <c r="L92" s="159"/>
    </row>
    <row r="93" spans="1:21" x14ac:dyDescent="0.6">
      <c r="A93" s="168" t="s">
        <v>124</v>
      </c>
      <c r="B93" s="168"/>
      <c r="C93" s="174">
        <v>37942</v>
      </c>
      <c r="D93" s="168"/>
      <c r="F93" s="199"/>
      <c r="G93" s="197"/>
      <c r="H93" s="159"/>
      <c r="I93" s="200"/>
      <c r="J93" s="159"/>
      <c r="K93" s="198"/>
      <c r="L93" s="159"/>
    </row>
    <row r="94" spans="1:21" x14ac:dyDescent="0.6">
      <c r="A94" s="120" t="s">
        <v>279</v>
      </c>
      <c r="B94" s="119"/>
      <c r="F94" s="199"/>
      <c r="G94" s="197"/>
      <c r="H94" s="159"/>
      <c r="I94" s="200"/>
      <c r="J94" s="159"/>
      <c r="K94" s="198"/>
      <c r="L94" s="159"/>
    </row>
    <row r="95" spans="1:21" ht="40.799999999999997" x14ac:dyDescent="0.6">
      <c r="A95" s="177" t="s">
        <v>522</v>
      </c>
      <c r="B95" s="178" t="s">
        <v>125</v>
      </c>
      <c r="C95" s="177" t="s">
        <v>144</v>
      </c>
      <c r="D95" s="177" t="s">
        <v>761</v>
      </c>
      <c r="F95" s="179" t="s">
        <v>382</v>
      </c>
      <c r="G95" s="179" t="s">
        <v>145</v>
      </c>
      <c r="H95" s="179" t="s">
        <v>383</v>
      </c>
      <c r="I95" s="179" t="s">
        <v>280</v>
      </c>
      <c r="K95" s="159"/>
      <c r="L95" s="159"/>
    </row>
    <row r="96" spans="1:21" x14ac:dyDescent="0.6">
      <c r="A96" s="201">
        <v>1</v>
      </c>
      <c r="B96" s="160" t="s">
        <v>371</v>
      </c>
      <c r="C96" s="202" t="e">
        <f>TRUNC(I96*$G$38)</f>
        <v>#REF!</v>
      </c>
      <c r="D96" s="203"/>
      <c r="F96" s="204" t="e">
        <f>#REF!</f>
        <v>#REF!</v>
      </c>
      <c r="G96" s="205" t="e">
        <f>#REF!</f>
        <v>#REF!</v>
      </c>
      <c r="H96" s="206"/>
      <c r="I96" s="205" t="e">
        <f>F96+G96+H96</f>
        <v>#REF!</v>
      </c>
      <c r="J96" s="159"/>
      <c r="L96" s="159"/>
    </row>
    <row r="97" spans="1:12" ht="22.8" x14ac:dyDescent="0.6">
      <c r="A97" s="201" t="s">
        <v>425</v>
      </c>
      <c r="B97" s="203" t="s">
        <v>378</v>
      </c>
      <c r="C97" s="202" t="e">
        <f>TRUNC(I97*$G$38)</f>
        <v>#REF!</v>
      </c>
      <c r="D97" s="203"/>
      <c r="F97" s="204" t="e">
        <f>#REF!</f>
        <v>#REF!</v>
      </c>
      <c r="G97" s="205" t="e">
        <f>#REF!</f>
        <v>#REF!</v>
      </c>
      <c r="H97" s="206"/>
      <c r="I97" s="205" t="e">
        <f>F97+G97+H97</f>
        <v>#REF!</v>
      </c>
      <c r="J97" s="159"/>
      <c r="L97" s="159"/>
    </row>
    <row r="98" spans="1:12" ht="22.8" x14ac:dyDescent="0.6">
      <c r="A98" s="201" t="s">
        <v>426</v>
      </c>
      <c r="B98" s="203" t="s">
        <v>379</v>
      </c>
      <c r="C98" s="202" t="e">
        <f>TRUNC(I98*$G$38)</f>
        <v>#REF!</v>
      </c>
      <c r="D98" s="203"/>
      <c r="F98" s="204" t="e">
        <f>#REF!</f>
        <v>#REF!</v>
      </c>
      <c r="G98" s="205" t="e">
        <f>#REF!</f>
        <v>#REF!</v>
      </c>
      <c r="H98" s="206"/>
      <c r="I98" s="205" t="e">
        <f>F98+G98+H98</f>
        <v>#REF!</v>
      </c>
      <c r="J98" s="159"/>
      <c r="K98" s="159"/>
      <c r="L98" s="159"/>
    </row>
    <row r="99" spans="1:12" ht="22.8" x14ac:dyDescent="0.6">
      <c r="A99" s="201" t="s">
        <v>427</v>
      </c>
      <c r="B99" s="203" t="s">
        <v>380</v>
      </c>
      <c r="C99" s="202" t="e">
        <f>TRUNC(I99*$G$38)</f>
        <v>#REF!</v>
      </c>
      <c r="D99" s="203"/>
      <c r="F99" s="207" t="e">
        <f>#REF!</f>
        <v>#REF!</v>
      </c>
      <c r="G99" s="207" t="e">
        <f>#REF!</f>
        <v>#REF!</v>
      </c>
      <c r="H99" s="208"/>
      <c r="I99" s="207" t="e">
        <f>F99+G99+H99</f>
        <v>#REF!</v>
      </c>
      <c r="J99" s="159"/>
      <c r="K99" s="159"/>
      <c r="L99" s="159"/>
    </row>
    <row r="100" spans="1:12" x14ac:dyDescent="0.6">
      <c r="A100" s="209"/>
      <c r="B100" s="210" t="s">
        <v>381</v>
      </c>
      <c r="C100" s="211" t="e">
        <f>SUM(C96:C99)</f>
        <v>#REF!</v>
      </c>
      <c r="D100" s="212"/>
      <c r="E100" s="74"/>
      <c r="F100" s="196"/>
      <c r="G100" s="196"/>
      <c r="H100" s="213"/>
      <c r="I100" s="196"/>
    </row>
    <row r="101" spans="1:12" x14ac:dyDescent="0.6">
      <c r="A101" s="214" t="s">
        <v>138</v>
      </c>
      <c r="B101" s="215"/>
      <c r="C101" s="216" t="e">
        <f>BAHTTEXT(C100)</f>
        <v>#REF!</v>
      </c>
      <c r="D101" s="217"/>
      <c r="F101" s="196"/>
      <c r="G101" s="196"/>
      <c r="H101" s="213"/>
      <c r="I101" s="196"/>
    </row>
    <row r="102" spans="1:12" x14ac:dyDescent="0.6">
      <c r="A102" s="120" t="s">
        <v>384</v>
      </c>
      <c r="F102" s="196"/>
      <c r="G102" s="196"/>
      <c r="H102" s="213"/>
      <c r="I102" s="196"/>
    </row>
    <row r="103" spans="1:12" ht="61.2" x14ac:dyDescent="0.6">
      <c r="A103" s="177" t="s">
        <v>522</v>
      </c>
      <c r="B103" s="178" t="s">
        <v>125</v>
      </c>
      <c r="C103" s="177" t="s">
        <v>144</v>
      </c>
      <c r="D103" s="177" t="s">
        <v>390</v>
      </c>
      <c r="F103" s="218" t="s">
        <v>385</v>
      </c>
      <c r="G103" s="218" t="s">
        <v>386</v>
      </c>
      <c r="H103" s="218" t="s">
        <v>387</v>
      </c>
      <c r="I103" s="218" t="s">
        <v>281</v>
      </c>
      <c r="J103" s="177" t="s">
        <v>388</v>
      </c>
      <c r="K103" s="219" t="s">
        <v>389</v>
      </c>
    </row>
    <row r="104" spans="1:12" x14ac:dyDescent="0.6">
      <c r="A104" s="201">
        <v>1</v>
      </c>
      <c r="B104" s="160" t="s">
        <v>371</v>
      </c>
      <c r="C104" s="220" t="str">
        <f>IF(J104=0,"................................",TRUNC(D104*K104))</f>
        <v>................................</v>
      </c>
      <c r="D104" s="221" t="e">
        <f>ROUNDDOWN(I104*$G$38,0)</f>
        <v>#REF!</v>
      </c>
      <c r="F104" s="204">
        <f>ROUNDDOWN([1]เสาเข็ม!$D$3/6,0)</f>
        <v>120</v>
      </c>
      <c r="G104" s="204">
        <f>ROUNDDOWN([1]เสาเข็ม!$E$3/6,0)</f>
        <v>21</v>
      </c>
      <c r="H104" s="206"/>
      <c r="I104" s="205">
        <f>F104+G104+H104</f>
        <v>141</v>
      </c>
      <c r="J104" s="48">
        <v>0</v>
      </c>
      <c r="K104" s="222">
        <f>8*(6-J104)</f>
        <v>48</v>
      </c>
    </row>
    <row r="105" spans="1:12" ht="22.8" x14ac:dyDescent="0.6">
      <c r="A105" s="201" t="s">
        <v>425</v>
      </c>
      <c r="B105" s="203" t="s">
        <v>378</v>
      </c>
      <c r="C105" s="220" t="str">
        <f>IF(J105=0,"................................",TRUNC(D105*K105))</f>
        <v>................................</v>
      </c>
      <c r="D105" s="271" t="e">
        <f>ROUNDDOWN(I105*$G$38,0)</f>
        <v>#REF!</v>
      </c>
      <c r="F105" s="204">
        <f>ROUNDDOWN([1]เสาเข็ม!$D$3/6,0)</f>
        <v>120</v>
      </c>
      <c r="G105" s="204">
        <f>ROUNDDOWN([1]เสาเข็ม!$E$3/6,0)</f>
        <v>21</v>
      </c>
      <c r="H105" s="206"/>
      <c r="I105" s="205">
        <f>F105+G105+H105</f>
        <v>141</v>
      </c>
      <c r="J105" s="48">
        <v>0</v>
      </c>
      <c r="K105" s="223">
        <f>9*(6-J105)</f>
        <v>54</v>
      </c>
    </row>
    <row r="106" spans="1:12" ht="22.8" x14ac:dyDescent="0.6">
      <c r="A106" s="201" t="s">
        <v>426</v>
      </c>
      <c r="B106" s="203" t="s">
        <v>379</v>
      </c>
      <c r="C106" s="220" t="str">
        <f>IF(J106=0,"................................",TRUNC(D106*K106))</f>
        <v>................................</v>
      </c>
      <c r="D106" s="271" t="e">
        <f>ROUNDDOWN(I106*$G$38,0)</f>
        <v>#REF!</v>
      </c>
      <c r="F106" s="204">
        <f>ROUNDDOWN([1]เสาเข็ม!$D$3/6,0)</f>
        <v>120</v>
      </c>
      <c r="G106" s="204">
        <f>ROUNDDOWN([1]เสาเข็ม!$E$3/6,0)</f>
        <v>21</v>
      </c>
      <c r="H106" s="206"/>
      <c r="I106" s="205">
        <f>F106+G106+H106</f>
        <v>141</v>
      </c>
      <c r="J106" s="48">
        <v>0</v>
      </c>
      <c r="K106" s="223">
        <f>57*(6-J106)</f>
        <v>342</v>
      </c>
    </row>
    <row r="107" spans="1:12" ht="22.8" x14ac:dyDescent="0.6">
      <c r="A107" s="201" t="s">
        <v>427</v>
      </c>
      <c r="B107" s="203" t="s">
        <v>380</v>
      </c>
      <c r="C107" s="220" t="str">
        <f>IF(J107=0,"................................",TRUNC(D107*K107))</f>
        <v>................................</v>
      </c>
      <c r="D107" s="271" t="e">
        <f>ROUNDDOWN(I107*$G$38,0)</f>
        <v>#REF!</v>
      </c>
      <c r="F107" s="204">
        <f>ROUNDDOWN([1]เสาเข็ม!$D$5/20,0)</f>
        <v>330</v>
      </c>
      <c r="G107" s="204">
        <f>ROUNDDOWN([1]เสาเข็ม!$E$5/20,0)</f>
        <v>62</v>
      </c>
      <c r="H107" s="208"/>
      <c r="I107" s="207">
        <f>F107+G107+H107</f>
        <v>392</v>
      </c>
      <c r="J107" s="224">
        <v>0</v>
      </c>
      <c r="K107" s="225">
        <f>8*(20-J107)</f>
        <v>160</v>
      </c>
    </row>
    <row r="108" spans="1:12" x14ac:dyDescent="0.6">
      <c r="A108" s="209"/>
      <c r="B108" s="226" t="s">
        <v>381</v>
      </c>
      <c r="C108" s="211">
        <f>SUM(C104:C107)</f>
        <v>0</v>
      </c>
      <c r="D108" s="212"/>
    </row>
    <row r="109" spans="1:12" x14ac:dyDescent="0.6">
      <c r="A109" s="214" t="s">
        <v>138</v>
      </c>
      <c r="B109" s="215"/>
      <c r="C109" s="216" t="str">
        <f>BAHTTEXT(C108)</f>
        <v>ศูนย์บาทถ้วน</v>
      </c>
      <c r="D109" s="217"/>
      <c r="F109" s="227"/>
      <c r="G109" s="159"/>
    </row>
    <row r="110" spans="1:12" x14ac:dyDescent="0.6">
      <c r="A110" s="120" t="s">
        <v>391</v>
      </c>
    </row>
    <row r="111" spans="1:12" ht="40.799999999999997" x14ac:dyDescent="0.6">
      <c r="A111" s="177" t="s">
        <v>522</v>
      </c>
      <c r="B111" s="178" t="s">
        <v>125</v>
      </c>
      <c r="C111" s="177" t="s">
        <v>144</v>
      </c>
      <c r="D111" s="177" t="s">
        <v>761</v>
      </c>
    </row>
    <row r="112" spans="1:12" x14ac:dyDescent="0.6">
      <c r="A112" s="228">
        <v>1</v>
      </c>
      <c r="B112" s="160" t="s">
        <v>392</v>
      </c>
      <c r="C112" s="269">
        <f>ไฟฟ้า!$J$9</f>
        <v>0</v>
      </c>
      <c r="D112" s="229"/>
    </row>
    <row r="113" spans="1:4" x14ac:dyDescent="0.6">
      <c r="A113" s="230">
        <v>2</v>
      </c>
      <c r="B113" s="231" t="s">
        <v>393</v>
      </c>
      <c r="C113" s="270">
        <f>ไฟฟ้า!$J$12</f>
        <v>107837</v>
      </c>
      <c r="D113" s="232"/>
    </row>
    <row r="114" spans="1:4" x14ac:dyDescent="0.6">
      <c r="A114" s="209"/>
      <c r="B114" s="226" t="s">
        <v>381</v>
      </c>
      <c r="C114" s="268">
        <f>SUM(C112:C113)</f>
        <v>107837</v>
      </c>
      <c r="D114" s="212"/>
    </row>
    <row r="115" spans="1:4" x14ac:dyDescent="0.6">
      <c r="A115" s="233" t="s">
        <v>394</v>
      </c>
      <c r="B115" s="234"/>
      <c r="C115" s="267" t="str">
        <f>BAHTTEXT(C114)</f>
        <v>หนึ่งแสนเจ็ดพันแปดร้อยสามสิบเจ็ดบาทถ้วน</v>
      </c>
      <c r="D115" s="217"/>
    </row>
    <row r="117" spans="1:4" x14ac:dyDescent="0.6">
      <c r="A117" s="105"/>
    </row>
    <row r="118" spans="1:4" x14ac:dyDescent="0.6">
      <c r="B118" s="119"/>
    </row>
    <row r="119" spans="1:4" x14ac:dyDescent="0.6">
      <c r="A119" s="105"/>
    </row>
    <row r="120" spans="1:4" x14ac:dyDescent="0.6">
      <c r="B120" s="119"/>
    </row>
    <row r="121" spans="1:4" x14ac:dyDescent="0.6">
      <c r="A121" s="105"/>
    </row>
    <row r="122" spans="1:4" x14ac:dyDescent="0.6">
      <c r="A122" s="116" t="s">
        <v>345</v>
      </c>
      <c r="B122" s="116"/>
    </row>
    <row r="123" spans="1:4" x14ac:dyDescent="0.6">
      <c r="A123" s="49" t="s">
        <v>346</v>
      </c>
      <c r="B123" s="116"/>
    </row>
    <row r="124" spans="1:4" x14ac:dyDescent="0.6">
      <c r="A124" s="105"/>
      <c r="B124" s="116"/>
    </row>
    <row r="125" spans="1:4" x14ac:dyDescent="0.6">
      <c r="A125" s="116" t="s">
        <v>347</v>
      </c>
      <c r="B125" s="116"/>
    </row>
    <row r="126" spans="1:4" x14ac:dyDescent="0.6">
      <c r="A126" s="49" t="s">
        <v>346</v>
      </c>
      <c r="B126" s="116"/>
    </row>
  </sheetData>
  <phoneticPr fontId="27" type="noConversion"/>
  <printOptions horizontalCentered="1"/>
  <pageMargins left="0.78740157480314965" right="0.59055118110236227" top="0.78740157480314965" bottom="0.78740157480314965" header="0.59055118110236227" footer="0.59055118110236227"/>
  <pageSetup paperSize="9" scale="77" orientation="portrait" horizontalDpi="4294967294" verticalDpi="300" r:id="rId1"/>
  <headerFooter alignWithMargins="0">
    <oddHeader xml:space="preserve">&amp;R&amp;A แผ่นที่ &amp;P/3
</oddHeader>
    <oddFooter>&amp;L&amp;F&amp;C&amp;A&amp;R8/10/2002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opLeftCell="A10" zoomScale="130" zoomScaleNormal="130" workbookViewId="0">
      <selection activeCell="V16" sqref="V16"/>
    </sheetView>
  </sheetViews>
  <sheetFormatPr defaultColWidth="9.125" defaultRowHeight="21" x14ac:dyDescent="0.4"/>
  <cols>
    <col min="1" max="1" width="2.625" style="355" customWidth="1"/>
    <col min="2" max="2" width="4.125" style="355" customWidth="1"/>
    <col min="3" max="3" width="7.75" style="355" customWidth="1"/>
    <col min="4" max="4" width="3.75" style="355" customWidth="1"/>
    <col min="5" max="5" width="8" style="355" customWidth="1"/>
    <col min="6" max="6" width="9.75" style="355" customWidth="1"/>
    <col min="7" max="7" width="5.875" style="355" customWidth="1"/>
    <col min="8" max="8" width="9.375" style="355" customWidth="1"/>
    <col min="9" max="9" width="7.125" style="355" customWidth="1"/>
    <col min="10" max="10" width="6.875" style="355" customWidth="1"/>
    <col min="11" max="11" width="4.125" style="355" customWidth="1"/>
    <col min="12" max="12" width="9.625" style="355" customWidth="1"/>
    <col min="13" max="13" width="7.75" style="355" customWidth="1"/>
    <col min="14" max="14" width="9" style="355" customWidth="1"/>
    <col min="15" max="15" width="0.625" style="355" customWidth="1"/>
    <col min="16" max="16" width="14.375" style="355" hidden="1" customWidth="1"/>
    <col min="17" max="19" width="1" style="355" customWidth="1"/>
    <col min="20" max="20" width="1.25" style="355" customWidth="1"/>
    <col min="21" max="16384" width="9.125" style="355"/>
  </cols>
  <sheetData>
    <row r="1" spans="1:16" ht="21.75" customHeight="1" x14ac:dyDescent="0.4">
      <c r="N1" s="471" t="s">
        <v>1644</v>
      </c>
    </row>
    <row r="2" spans="1:16" ht="33" customHeight="1" x14ac:dyDescent="0.45">
      <c r="A2" s="1438" t="s">
        <v>854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</row>
    <row r="3" spans="1:16" ht="21.75" customHeight="1" x14ac:dyDescent="0.4">
      <c r="A3" s="473"/>
      <c r="B3" s="473"/>
      <c r="C3" s="474"/>
      <c r="D3" s="474"/>
      <c r="E3" s="474"/>
      <c r="F3" s="474"/>
      <c r="G3" s="473"/>
      <c r="H3" s="473"/>
      <c r="I3" s="474"/>
      <c r="J3" s="474"/>
      <c r="K3" s="474"/>
      <c r="L3" s="474"/>
      <c r="M3" s="474"/>
      <c r="N3" s="1439"/>
    </row>
    <row r="4" spans="1:16" ht="21.75" customHeight="1" x14ac:dyDescent="0.4">
      <c r="A4" s="475"/>
      <c r="B4" s="475" t="s">
        <v>1254</v>
      </c>
      <c r="C4" s="475"/>
      <c r="D4" s="475"/>
      <c r="E4" s="475" t="str">
        <f>ปร.5!E6</f>
        <v xml:space="preserve">ก่อสร้างระบบประปาหมู่บ้าน (ปากน้ำ 3) </v>
      </c>
      <c r="F4" s="475"/>
      <c r="G4" s="475"/>
      <c r="H4" s="475"/>
      <c r="I4" s="475"/>
      <c r="J4" s="475"/>
      <c r="K4" s="475"/>
      <c r="L4" s="475"/>
      <c r="M4" s="475"/>
      <c r="N4" s="475"/>
      <c r="P4" s="476" t="s">
        <v>363</v>
      </c>
    </row>
    <row r="5" spans="1:16" ht="21.75" customHeight="1" x14ac:dyDescent="0.4">
      <c r="A5" s="475"/>
      <c r="B5" s="475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</row>
    <row r="6" spans="1:16" ht="21.75" customHeight="1" x14ac:dyDescent="0.4">
      <c r="A6" s="475"/>
      <c r="B6" s="475" t="s">
        <v>1797</v>
      </c>
      <c r="C6" s="475"/>
      <c r="D6" s="477"/>
      <c r="E6" s="478"/>
      <c r="F6" s="475"/>
      <c r="G6" s="475"/>
      <c r="H6" s="475"/>
      <c r="I6" s="475"/>
      <c r="J6" s="475"/>
      <c r="K6" s="475"/>
      <c r="L6" s="475"/>
      <c r="M6" s="475"/>
      <c r="N6" s="475"/>
    </row>
    <row r="7" spans="1:16" s="411" customFormat="1" ht="15.6" customHeight="1" x14ac:dyDescent="0.4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6" ht="21.75" customHeight="1" x14ac:dyDescent="0.4">
      <c r="A8" s="475"/>
      <c r="B8" s="475"/>
      <c r="C8" s="475"/>
      <c r="D8" s="475"/>
      <c r="E8" s="478"/>
      <c r="F8" s="475"/>
      <c r="G8" s="475"/>
      <c r="H8" s="475"/>
      <c r="I8" s="479"/>
      <c r="J8" s="480"/>
      <c r="K8" s="477"/>
      <c r="L8" s="475"/>
      <c r="M8" s="475"/>
      <c r="N8" s="475"/>
    </row>
    <row r="9" spans="1:16" ht="21.75" customHeight="1" x14ac:dyDescent="0.4">
      <c r="A9" s="475"/>
      <c r="B9" s="475" t="str">
        <f>ปร.5!B9</f>
        <v>เจ้าของโครงการ เทศบาลตำบลทุ่งหลวง</v>
      </c>
      <c r="C9" s="475"/>
      <c r="D9" s="475"/>
      <c r="E9" s="478"/>
      <c r="F9" s="475"/>
      <c r="G9" s="475"/>
      <c r="H9" s="475"/>
      <c r="I9" s="479"/>
      <c r="J9" s="481"/>
      <c r="K9" s="477"/>
      <c r="L9" s="475"/>
      <c r="M9" s="475"/>
      <c r="N9" s="475"/>
    </row>
    <row r="10" spans="1:16" ht="21.75" customHeight="1" x14ac:dyDescent="0.4">
      <c r="A10" s="475"/>
      <c r="B10" s="475">
        <f>ปร.5!B10</f>
        <v>0</v>
      </c>
      <c r="C10" s="475"/>
      <c r="D10" s="475"/>
      <c r="E10" s="475"/>
      <c r="F10" s="475"/>
      <c r="G10" s="475"/>
      <c r="H10" s="475"/>
      <c r="I10" s="475"/>
      <c r="J10" s="475"/>
      <c r="K10" s="475"/>
      <c r="L10" s="475" t="str">
        <f>ปร.5!J10</f>
        <v>เมื่อวันที่  1 ธันวาคม  2568</v>
      </c>
      <c r="M10" s="475"/>
      <c r="N10" s="475"/>
    </row>
    <row r="11" spans="1:16" ht="21.75" customHeight="1" x14ac:dyDescent="0.4">
      <c r="A11" s="389"/>
      <c r="B11" s="389"/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  <c r="N11" s="482" t="s">
        <v>808</v>
      </c>
    </row>
    <row r="12" spans="1:16" ht="21.75" customHeight="1" x14ac:dyDescent="0.4">
      <c r="A12" s="483" t="s">
        <v>522</v>
      </c>
      <c r="B12" s="484"/>
      <c r="C12" s="485" t="s">
        <v>125</v>
      </c>
      <c r="D12" s="485"/>
      <c r="E12" s="485"/>
      <c r="F12" s="485"/>
      <c r="G12" s="484"/>
      <c r="H12" s="485"/>
      <c r="I12" s="484"/>
      <c r="J12" s="484"/>
      <c r="K12" s="484"/>
      <c r="L12" s="485" t="s">
        <v>559</v>
      </c>
      <c r="M12" s="484"/>
      <c r="N12" s="486" t="s">
        <v>761</v>
      </c>
    </row>
    <row r="13" spans="1:16" ht="21.75" customHeight="1" x14ac:dyDescent="0.4">
      <c r="A13" s="487"/>
      <c r="B13" s="1474">
        <v>1</v>
      </c>
      <c r="C13" s="489" t="s">
        <v>129</v>
      </c>
      <c r="D13" s="490"/>
      <c r="E13" s="490"/>
      <c r="F13" s="490"/>
      <c r="G13" s="490"/>
      <c r="H13" s="491"/>
      <c r="I13" s="491"/>
      <c r="J13" s="492"/>
      <c r="K13" s="493"/>
      <c r="L13" s="1512">
        <f>ปร.5!L30</f>
        <v>850201.67992155091</v>
      </c>
      <c r="M13" s="1513"/>
      <c r="N13" s="494"/>
    </row>
    <row r="14" spans="1:16" ht="21.75" customHeight="1" x14ac:dyDescent="0.4">
      <c r="A14" s="487"/>
      <c r="B14" s="1474">
        <v>2</v>
      </c>
      <c r="C14" s="495" t="s">
        <v>845</v>
      </c>
      <c r="D14" s="490"/>
      <c r="E14" s="490"/>
      <c r="F14" s="490"/>
      <c r="G14" s="490"/>
      <c r="H14" s="491"/>
      <c r="I14" s="491"/>
      <c r="J14" s="492"/>
      <c r="K14" s="493"/>
      <c r="L14" s="1512">
        <f>'ปร.5 (2)'!L23</f>
        <v>53518.97600000001</v>
      </c>
      <c r="M14" s="1513"/>
      <c r="N14" s="494"/>
    </row>
    <row r="15" spans="1:16" ht="21.75" customHeight="1" x14ac:dyDescent="0.4">
      <c r="A15" s="487"/>
      <c r="B15" s="488"/>
      <c r="C15" s="495"/>
      <c r="D15" s="490"/>
      <c r="E15" s="490"/>
      <c r="F15" s="490" t="s">
        <v>858</v>
      </c>
      <c r="G15" s="490"/>
      <c r="H15" s="491"/>
      <c r="I15" s="491"/>
      <c r="J15" s="496"/>
      <c r="K15" s="497"/>
      <c r="L15" s="1512"/>
      <c r="M15" s="1513"/>
      <c r="N15" s="494"/>
    </row>
    <row r="16" spans="1:16" ht="21.75" customHeight="1" x14ac:dyDescent="0.4">
      <c r="A16" s="498"/>
      <c r="B16" s="494"/>
      <c r="C16" s="495"/>
      <c r="D16" s="490"/>
      <c r="E16" s="490"/>
      <c r="F16" s="499"/>
      <c r="G16" s="500"/>
      <c r="H16" s="491"/>
      <c r="I16" s="491"/>
      <c r="J16" s="496"/>
      <c r="K16" s="497"/>
      <c r="L16" s="1512"/>
      <c r="M16" s="1513"/>
      <c r="N16" s="494"/>
    </row>
    <row r="17" spans="1:26" ht="21.75" customHeight="1" x14ac:dyDescent="0.4">
      <c r="A17" s="386"/>
      <c r="B17" s="378"/>
      <c r="C17" s="501"/>
      <c r="D17" s="502"/>
      <c r="E17" s="502"/>
      <c r="F17" s="503"/>
      <c r="G17" s="504"/>
      <c r="H17" s="505"/>
      <c r="I17" s="505"/>
      <c r="J17" s="502"/>
      <c r="K17" s="506"/>
      <c r="L17" s="1519"/>
      <c r="M17" s="1520"/>
      <c r="N17" s="378"/>
    </row>
    <row r="18" spans="1:26" ht="21.75" customHeight="1" x14ac:dyDescent="0.4">
      <c r="A18" s="507"/>
      <c r="B18" s="508"/>
      <c r="C18" s="1514" t="s">
        <v>856</v>
      </c>
      <c r="D18" s="1515"/>
      <c r="E18" s="1515"/>
      <c r="F18" s="1515"/>
      <c r="G18" s="1515"/>
      <c r="H18" s="1515"/>
      <c r="I18" s="1515"/>
      <c r="J18" s="1515"/>
      <c r="K18" s="1516"/>
      <c r="L18" s="1521">
        <f>SUM(L13:L14)</f>
        <v>903720.65592155093</v>
      </c>
      <c r="M18" s="1522"/>
      <c r="N18" s="394"/>
    </row>
    <row r="19" spans="1:26" ht="21.75" customHeight="1" x14ac:dyDescent="0.4">
      <c r="A19" s="509" t="s">
        <v>135</v>
      </c>
      <c r="B19" s="510"/>
      <c r="C19" s="1517" t="s">
        <v>1796</v>
      </c>
      <c r="D19" s="1501"/>
      <c r="E19" s="1501"/>
      <c r="F19" s="1501"/>
      <c r="G19" s="1501"/>
      <c r="H19" s="1501"/>
      <c r="I19" s="1501"/>
      <c r="J19" s="1501"/>
      <c r="K19" s="1518"/>
      <c r="L19" s="1521">
        <f>L18</f>
        <v>903720.65592155093</v>
      </c>
      <c r="M19" s="1522"/>
      <c r="N19" s="394"/>
    </row>
    <row r="20" spans="1:26" ht="21.75" customHeight="1" x14ac:dyDescent="0.4">
      <c r="A20" s="388"/>
      <c r="B20" s="390"/>
      <c r="C20" s="389" t="s">
        <v>364</v>
      </c>
      <c r="D20" s="389"/>
      <c r="E20" s="389"/>
      <c r="F20" s="389"/>
      <c r="G20" s="389"/>
      <c r="H20" s="1527" t="str">
        <f>CONCATENATE("(",BAHTTEXT(L19),")")</f>
        <v>(เก้าแสนสามพันเจ็ดร้อยยี่สิบบาทหกสิบหกสตางค์)</v>
      </c>
      <c r="I20" s="1527"/>
      <c r="J20" s="1527"/>
      <c r="K20" s="1527"/>
      <c r="L20" s="1527"/>
      <c r="M20" s="1527"/>
      <c r="N20" s="1528"/>
    </row>
    <row r="21" spans="1:26" ht="21.75" customHeight="1" x14ac:dyDescent="0.4"/>
    <row r="22" spans="1:26" s="1278" customFormat="1" ht="24" customHeight="1" x14ac:dyDescent="0.35">
      <c r="B22" s="1523" t="str">
        <f>IF([2]ข้อมูลเริ่มต้น!$W$71=1,"คณะกรรมการกำหนดราคากลาง"," ")</f>
        <v>คณะกรรมการกำหนดราคากลาง</v>
      </c>
      <c r="C22" s="1523"/>
      <c r="D22" s="1523"/>
      <c r="E22" s="1278" t="s">
        <v>1801</v>
      </c>
      <c r="S22" s="1442"/>
      <c r="T22" s="1442"/>
      <c r="U22" s="1443"/>
      <c r="V22" s="1443"/>
      <c r="W22" s="1443"/>
      <c r="X22" s="1443"/>
      <c r="Y22" s="1444"/>
      <c r="Z22" s="1444"/>
    </row>
    <row r="23" spans="1:26" s="1278" customFormat="1" ht="24" customHeight="1" x14ac:dyDescent="0.35">
      <c r="B23" s="1523" t="s">
        <v>1840</v>
      </c>
      <c r="C23" s="1523"/>
      <c r="D23" s="1523"/>
      <c r="E23" s="1523"/>
      <c r="F23" s="1523"/>
      <c r="G23" s="1523"/>
      <c r="H23" s="1523"/>
      <c r="S23" s="1442"/>
      <c r="T23" s="1442"/>
      <c r="U23" s="1443"/>
      <c r="V23" s="1443"/>
      <c r="W23" s="1443"/>
      <c r="X23" s="1443"/>
      <c r="Y23" s="1444"/>
      <c r="Z23" s="1444"/>
    </row>
    <row r="24" spans="1:26" s="1278" customFormat="1" ht="34.200000000000003" customHeight="1" x14ac:dyDescent="0.35">
      <c r="A24" s="1445" t="s">
        <v>1810</v>
      </c>
      <c r="B24" s="1445"/>
      <c r="C24" s="1445"/>
      <c r="D24" s="1445"/>
      <c r="E24" s="1445"/>
      <c r="F24" s="1445"/>
      <c r="G24" s="1445"/>
      <c r="H24" s="1445"/>
    </row>
    <row r="25" spans="1:26" s="1442" customFormat="1" ht="21" customHeight="1" x14ac:dyDescent="0.6">
      <c r="B25" s="1446"/>
      <c r="C25" s="1524" t="s">
        <v>1808</v>
      </c>
      <c r="D25" s="1524"/>
      <c r="E25" s="1524"/>
      <c r="F25" s="1524"/>
      <c r="G25" s="1524"/>
      <c r="H25" s="1524"/>
      <c r="I25" s="1524"/>
      <c r="J25" s="1524"/>
      <c r="K25" s="1524"/>
      <c r="L25" s="1524"/>
      <c r="M25" s="1524"/>
      <c r="N25" s="1524"/>
    </row>
    <row r="26" spans="1:26" s="1442" customFormat="1" ht="21" customHeight="1" x14ac:dyDescent="0.6">
      <c r="B26" s="1525" t="s">
        <v>1809</v>
      </c>
      <c r="C26" s="1525"/>
      <c r="D26" s="1525"/>
      <c r="E26" s="1525"/>
      <c r="F26" s="1525"/>
      <c r="G26" s="1525"/>
      <c r="H26" s="1525"/>
      <c r="I26" s="1525"/>
      <c r="J26" s="1525"/>
      <c r="K26" s="1525"/>
      <c r="L26" s="1525"/>
      <c r="M26" s="1525"/>
      <c r="N26" s="1525"/>
      <c r="O26" s="1446"/>
    </row>
    <row r="27" spans="1:26" s="1442" customFormat="1" ht="18" x14ac:dyDescent="0.6">
      <c r="B27" s="1446"/>
      <c r="C27" s="1448"/>
      <c r="D27" s="1448"/>
      <c r="E27" s="1447"/>
      <c r="F27" s="1447"/>
      <c r="G27" s="1446"/>
      <c r="H27" s="1447"/>
      <c r="I27" s="1447"/>
      <c r="J27" s="1447"/>
      <c r="L27" s="1447"/>
      <c r="M27" s="1447"/>
      <c r="N27" s="1447"/>
      <c r="O27" s="1446"/>
    </row>
    <row r="28" spans="1:26" s="1278" customFormat="1" ht="18" x14ac:dyDescent="0.35">
      <c r="A28" s="1445" t="s">
        <v>1834</v>
      </c>
      <c r="B28" s="1445"/>
      <c r="C28" s="1445"/>
      <c r="D28" s="1445"/>
      <c r="E28" s="1445"/>
      <c r="F28" s="1445"/>
      <c r="G28" s="1445"/>
      <c r="H28" s="1449"/>
      <c r="I28" s="1440"/>
    </row>
    <row r="29" spans="1:26" s="1442" customFormat="1" ht="18" x14ac:dyDescent="0.35">
      <c r="B29" s="1446"/>
      <c r="C29" s="1447" t="s">
        <v>1803</v>
      </c>
      <c r="D29" s="1447"/>
      <c r="E29" s="1447"/>
      <c r="F29" s="1447"/>
      <c r="G29" s="1526" t="s">
        <v>1835</v>
      </c>
      <c r="H29" s="1526"/>
      <c r="I29" s="1526"/>
      <c r="J29" s="1526"/>
      <c r="K29" s="1526"/>
      <c r="L29" s="1526"/>
      <c r="M29" s="1526"/>
      <c r="O29" s="1523"/>
      <c r="P29" s="1523"/>
      <c r="Q29" s="1523"/>
    </row>
    <row r="30" spans="1:26" s="1442" customFormat="1" ht="18" x14ac:dyDescent="0.6">
      <c r="B30" s="1446"/>
      <c r="C30" s="1526" t="s">
        <v>1804</v>
      </c>
      <c r="D30" s="1526"/>
      <c r="E30" s="1526"/>
      <c r="F30" s="1526"/>
      <c r="G30" s="1529" t="s">
        <v>1836</v>
      </c>
      <c r="H30" s="1529"/>
      <c r="I30" s="1529"/>
      <c r="J30" s="1529"/>
      <c r="K30" s="1529"/>
      <c r="L30" s="1529"/>
      <c r="M30" s="1529"/>
      <c r="N30" s="1529"/>
    </row>
    <row r="31" spans="1:26" s="1278" customFormat="1" ht="37.200000000000003" customHeight="1" x14ac:dyDescent="0.35">
      <c r="A31" s="1445" t="s">
        <v>1837</v>
      </c>
      <c r="B31" s="1445"/>
      <c r="C31" s="1445"/>
      <c r="D31" s="1445"/>
      <c r="E31" s="1445"/>
      <c r="F31" s="1445"/>
      <c r="G31" s="1445"/>
      <c r="H31" s="1445"/>
    </row>
    <row r="32" spans="1:26" s="1442" customFormat="1" ht="18" x14ac:dyDescent="0.6">
      <c r="B32" s="1530" t="s">
        <v>1802</v>
      </c>
      <c r="C32" s="1530"/>
      <c r="D32" s="1530"/>
      <c r="E32" s="1530"/>
      <c r="F32" s="1530"/>
      <c r="G32" s="1447"/>
      <c r="H32" s="1529" t="s">
        <v>1838</v>
      </c>
      <c r="I32" s="1529"/>
      <c r="J32" s="1529"/>
      <c r="K32" s="1529"/>
      <c r="L32" s="1529"/>
      <c r="M32" s="1529"/>
      <c r="N32" s="1529"/>
    </row>
    <row r="33" spans="2:14" s="1442" customFormat="1" ht="18" x14ac:dyDescent="0.6">
      <c r="B33" s="1530" t="s">
        <v>1805</v>
      </c>
      <c r="C33" s="1530"/>
      <c r="D33" s="1530"/>
      <c r="E33" s="1530"/>
      <c r="F33" s="1530"/>
      <c r="G33" s="1529" t="s">
        <v>1839</v>
      </c>
      <c r="H33" s="1529"/>
      <c r="I33" s="1529"/>
      <c r="J33" s="1529"/>
      <c r="K33" s="1529"/>
      <c r="L33" s="1529"/>
      <c r="M33" s="1529"/>
      <c r="N33" s="1529"/>
    </row>
    <row r="34" spans="2:14" s="1450" customFormat="1" ht="18" x14ac:dyDescent="0.35">
      <c r="G34" s="1441"/>
      <c r="H34" s="1441"/>
      <c r="I34" s="1441"/>
      <c r="J34" s="1278"/>
    </row>
    <row r="35" spans="2:14" ht="24" customHeight="1" x14ac:dyDescent="0.4"/>
    <row r="36" spans="2:14" ht="24" customHeight="1" x14ac:dyDescent="0.4"/>
    <row r="37" spans="2:14" ht="24" customHeight="1" x14ac:dyDescent="0.4"/>
    <row r="38" spans="2:14" ht="24" customHeight="1" x14ac:dyDescent="0.4"/>
    <row r="39" spans="2:14" ht="24" customHeight="1" x14ac:dyDescent="0.4"/>
    <row r="40" spans="2:14" ht="24" customHeight="1" x14ac:dyDescent="0.4"/>
    <row r="41" spans="2:14" ht="24" customHeight="1" x14ac:dyDescent="0.4"/>
    <row r="42" spans="2:14" ht="24" customHeight="1" x14ac:dyDescent="0.4"/>
    <row r="43" spans="2:14" ht="24" customHeight="1" x14ac:dyDescent="0.4"/>
    <row r="44" spans="2:14" ht="24" customHeight="1" x14ac:dyDescent="0.4"/>
    <row r="45" spans="2:14" ht="24" customHeight="1" x14ac:dyDescent="0.4"/>
    <row r="46" spans="2:14" ht="24" customHeight="1" x14ac:dyDescent="0.4"/>
  </sheetData>
  <mergeCells count="22">
    <mergeCell ref="G30:N30"/>
    <mergeCell ref="C30:F30"/>
    <mergeCell ref="B32:F32"/>
    <mergeCell ref="B33:F33"/>
    <mergeCell ref="H32:N32"/>
    <mergeCell ref="G33:N33"/>
    <mergeCell ref="O29:Q29"/>
    <mergeCell ref="B22:D22"/>
    <mergeCell ref="C25:N25"/>
    <mergeCell ref="B23:H23"/>
    <mergeCell ref="L16:M16"/>
    <mergeCell ref="B26:N26"/>
    <mergeCell ref="G29:M29"/>
    <mergeCell ref="H20:N20"/>
    <mergeCell ref="L13:M13"/>
    <mergeCell ref="C18:K18"/>
    <mergeCell ref="C19:K19"/>
    <mergeCell ref="L14:M14"/>
    <mergeCell ref="L15:M15"/>
    <mergeCell ref="L17:M17"/>
    <mergeCell ref="L18:M18"/>
    <mergeCell ref="L19:M19"/>
  </mergeCells>
  <phoneticPr fontId="27" type="noConversion"/>
  <pageMargins left="0.75" right="0.5" top="0.5" bottom="0.5" header="0.25" footer="0.2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abSelected="1" view="pageBreakPreview" topLeftCell="A7" zoomScale="110" zoomScaleNormal="130" zoomScaleSheetLayoutView="110" workbookViewId="0">
      <selection activeCell="T19" sqref="T19"/>
    </sheetView>
  </sheetViews>
  <sheetFormatPr defaultColWidth="9.125" defaultRowHeight="21" x14ac:dyDescent="0.4"/>
  <cols>
    <col min="1" max="1" width="2.625" style="411" customWidth="1"/>
    <col min="2" max="2" width="3.625" style="411" customWidth="1"/>
    <col min="3" max="3" width="7.75" style="411" customWidth="1"/>
    <col min="4" max="4" width="3.75" style="411" customWidth="1"/>
    <col min="5" max="5" width="16.75" style="411" customWidth="1"/>
    <col min="6" max="6" width="15" style="411" customWidth="1"/>
    <col min="7" max="7" width="3" style="411" customWidth="1"/>
    <col min="8" max="8" width="2.125" style="411" customWidth="1"/>
    <col min="9" max="9" width="2.875" style="411" hidden="1" customWidth="1"/>
    <col min="10" max="10" width="14.125" style="411" customWidth="1"/>
    <col min="11" max="11" width="9.75" style="411" customWidth="1"/>
    <col min="12" max="12" width="15.625" style="411" customWidth="1"/>
    <col min="13" max="13" width="4.125" style="411" customWidth="1"/>
    <col min="14" max="14" width="10.75" style="411" customWidth="1"/>
    <col min="15" max="15" width="0.875" style="411" customWidth="1"/>
    <col min="16" max="16" width="14.375" style="411" hidden="1" customWidth="1"/>
    <col min="17" max="17" width="17.875" style="411" customWidth="1"/>
    <col min="18" max="16384" width="9.125" style="411"/>
  </cols>
  <sheetData>
    <row r="1" spans="1:17" s="511" customFormat="1" ht="22.5" customHeight="1" x14ac:dyDescent="0.6">
      <c r="H1" s="1268"/>
      <c r="N1" s="512" t="s">
        <v>1643</v>
      </c>
    </row>
    <row r="2" spans="1:17" ht="3.75" customHeight="1" x14ac:dyDescent="0.4"/>
    <row r="3" spans="1:17" s="515" customFormat="1" ht="27.6" customHeight="1" x14ac:dyDescent="0.55000000000000004">
      <c r="A3" s="1269" t="s">
        <v>807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</row>
    <row r="4" spans="1:17" s="515" customFormat="1" ht="1.2" customHeight="1" x14ac:dyDescent="0.45">
      <c r="A4" s="514"/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</row>
    <row r="5" spans="1:17" ht="20.399999999999999" customHeight="1" x14ac:dyDescent="0.4">
      <c r="A5" s="530"/>
      <c r="B5" s="530" t="s">
        <v>683</v>
      </c>
      <c r="C5" s="518"/>
      <c r="D5" s="518"/>
      <c r="E5" s="530" t="s">
        <v>1712</v>
      </c>
      <c r="F5" s="518"/>
      <c r="G5" s="518"/>
      <c r="H5" s="530"/>
      <c r="M5" s="518"/>
      <c r="N5" s="528"/>
    </row>
    <row r="6" spans="1:17" ht="18.600000000000001" customHeight="1" x14ac:dyDescent="0.4">
      <c r="A6" s="477"/>
      <c r="B6" s="477" t="s">
        <v>1254</v>
      </c>
      <c r="C6" s="477"/>
      <c r="D6" s="477"/>
      <c r="E6" s="521" t="s">
        <v>1799</v>
      </c>
      <c r="F6" s="521"/>
      <c r="G6" s="477"/>
      <c r="H6" s="477"/>
      <c r="I6" s="477"/>
      <c r="J6" s="477"/>
      <c r="K6" s="477"/>
      <c r="L6" s="477"/>
      <c r="M6" s="477"/>
      <c r="N6" s="477"/>
      <c r="P6" s="522" t="s">
        <v>363</v>
      </c>
    </row>
    <row r="7" spans="1:17" ht="15.6" customHeight="1" x14ac:dyDescent="0.4">
      <c r="A7" s="477"/>
      <c r="B7" s="477" t="s">
        <v>1782</v>
      </c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7" ht="17.399999999999999" customHeight="1" x14ac:dyDescent="0.4">
      <c r="A8" s="477"/>
      <c r="B8" s="477" t="s">
        <v>120</v>
      </c>
      <c r="C8" s="477"/>
      <c r="D8" s="477"/>
      <c r="E8" s="1255"/>
      <c r="F8" s="477"/>
      <c r="G8" s="477"/>
      <c r="H8" s="477"/>
      <c r="I8" s="477"/>
      <c r="J8" s="477"/>
      <c r="K8" s="477"/>
      <c r="L8" s="477"/>
      <c r="M8" s="477"/>
      <c r="N8" s="477"/>
    </row>
    <row r="9" spans="1:17" ht="17.399999999999999" customHeight="1" x14ac:dyDescent="0.4">
      <c r="A9" s="477"/>
      <c r="B9" s="477" t="s">
        <v>1713</v>
      </c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477"/>
      <c r="Q9" s="1112"/>
    </row>
    <row r="10" spans="1:17" ht="16.8" customHeight="1" x14ac:dyDescent="0.4">
      <c r="A10" s="477"/>
      <c r="B10" s="477"/>
      <c r="C10" s="477"/>
      <c r="D10" s="524"/>
      <c r="E10" s="523"/>
      <c r="F10" s="477"/>
      <c r="G10" s="477"/>
      <c r="H10" s="479"/>
      <c r="I10" s="480"/>
      <c r="J10" s="1255" t="s">
        <v>1842</v>
      </c>
      <c r="K10" s="481"/>
      <c r="L10" s="521"/>
      <c r="M10" s="521"/>
    </row>
    <row r="11" spans="1:17" ht="4.5" customHeight="1" x14ac:dyDescent="0.4">
      <c r="A11" s="403"/>
      <c r="B11" s="532"/>
      <c r="C11" s="404"/>
      <c r="D11" s="404"/>
      <c r="E11" s="404"/>
      <c r="F11" s="404"/>
      <c r="G11" s="404"/>
      <c r="H11" s="404"/>
      <c r="I11" s="404"/>
      <c r="J11" s="403"/>
      <c r="K11" s="533"/>
      <c r="L11" s="533"/>
      <c r="M11" s="404"/>
      <c r="N11" s="532"/>
    </row>
    <row r="12" spans="1:17" ht="15" customHeight="1" x14ac:dyDescent="0.4">
      <c r="A12" s="534" t="s">
        <v>522</v>
      </c>
      <c r="B12" s="409"/>
      <c r="C12" s="518" t="s">
        <v>125</v>
      </c>
      <c r="D12" s="518"/>
      <c r="E12" s="518"/>
      <c r="F12" s="518"/>
      <c r="G12" s="518"/>
      <c r="H12" s="518"/>
      <c r="I12" s="409"/>
      <c r="J12" s="535" t="s">
        <v>842</v>
      </c>
      <c r="K12" s="536" t="s">
        <v>847</v>
      </c>
      <c r="L12" s="1214" t="s">
        <v>846</v>
      </c>
      <c r="M12" s="518" t="s">
        <v>761</v>
      </c>
      <c r="N12" s="409"/>
    </row>
    <row r="13" spans="1:17" ht="16.8" customHeight="1" x14ac:dyDescent="0.4">
      <c r="A13" s="427"/>
      <c r="B13" s="428"/>
      <c r="C13" s="537"/>
      <c r="D13" s="537"/>
      <c r="E13" s="537"/>
      <c r="F13" s="537"/>
      <c r="G13" s="537"/>
      <c r="H13" s="537"/>
      <c r="I13" s="428"/>
      <c r="J13" s="539" t="s">
        <v>843</v>
      </c>
      <c r="K13" s="539"/>
      <c r="L13" s="1215" t="s">
        <v>1798</v>
      </c>
      <c r="M13" s="538"/>
      <c r="N13" s="428"/>
    </row>
    <row r="14" spans="1:17" ht="16.8" customHeight="1" x14ac:dyDescent="0.4">
      <c r="A14" s="541">
        <v>1</v>
      </c>
      <c r="B14" s="542"/>
      <c r="C14" s="477" t="s">
        <v>129</v>
      </c>
      <c r="D14" s="477"/>
      <c r="E14" s="477"/>
      <c r="F14" s="477"/>
      <c r="G14" s="477"/>
      <c r="H14" s="477"/>
      <c r="I14" s="543"/>
      <c r="J14" s="1211"/>
      <c r="K14" s="545"/>
      <c r="L14" s="546"/>
      <c r="M14" s="547"/>
      <c r="N14" s="548"/>
    </row>
    <row r="15" spans="1:17" ht="17.399999999999999" customHeight="1" x14ac:dyDescent="0.4">
      <c r="A15" s="541"/>
      <c r="B15" s="542"/>
      <c r="C15" s="477" t="s">
        <v>1730</v>
      </c>
      <c r="D15" s="477"/>
      <c r="E15" s="477"/>
      <c r="F15" s="477"/>
      <c r="G15" s="477"/>
      <c r="H15" s="477"/>
      <c r="I15" s="543"/>
      <c r="J15" s="1458">
        <f>'911043'!J32</f>
        <v>4344.2300000000005</v>
      </c>
      <c r="K15" s="1210">
        <v>1.3083</v>
      </c>
      <c r="L15" s="1456">
        <f t="shared" ref="L15:L24" si="0">J15*K15</f>
        <v>5683.556109000001</v>
      </c>
      <c r="M15" s="547"/>
      <c r="N15" s="548"/>
      <c r="Q15" s="411">
        <f>J15*1.2721</f>
        <v>5526.2949830000007</v>
      </c>
    </row>
    <row r="16" spans="1:17" ht="15.6" customHeight="1" x14ac:dyDescent="0.4">
      <c r="A16" s="541"/>
      <c r="B16" s="542"/>
      <c r="C16" s="477" t="s">
        <v>1731</v>
      </c>
      <c r="D16" s="477"/>
      <c r="E16" s="477"/>
      <c r="F16" s="477"/>
      <c r="G16" s="477"/>
      <c r="H16" s="477"/>
      <c r="I16" s="543"/>
      <c r="J16" s="1458">
        <f>ประสานปากบ่อ!J27</f>
        <v>20438.79</v>
      </c>
      <c r="K16" s="1210">
        <f>K15</f>
        <v>1.3083</v>
      </c>
      <c r="L16" s="1456">
        <f>J16*K16</f>
        <v>26740.068957000003</v>
      </c>
      <c r="M16" s="547"/>
      <c r="N16" s="548"/>
      <c r="Q16" s="411">
        <f>J16*1.2721</f>
        <v>26000.184759</v>
      </c>
    </row>
    <row r="17" spans="1:17" ht="17.399999999999999" customHeight="1" x14ac:dyDescent="0.4">
      <c r="A17" s="541"/>
      <c r="B17" s="542"/>
      <c r="C17" s="477" t="s">
        <v>1732</v>
      </c>
      <c r="D17" s="477"/>
      <c r="E17" s="477"/>
      <c r="F17" s="477"/>
      <c r="G17" s="477"/>
      <c r="H17" s="477"/>
      <c r="I17" s="543"/>
      <c r="J17" s="1465">
        <f>งานดิน!J14</f>
        <v>0</v>
      </c>
      <c r="K17" s="549">
        <f>K15</f>
        <v>1.3083</v>
      </c>
      <c r="L17" s="1468">
        <f t="shared" si="0"/>
        <v>0</v>
      </c>
      <c r="M17" s="547"/>
      <c r="N17" s="548"/>
      <c r="Q17" s="411">
        <f t="shared" ref="Q17:Q23" si="1">J17*1.2721</f>
        <v>0</v>
      </c>
    </row>
    <row r="18" spans="1:17" ht="16.2" customHeight="1" x14ac:dyDescent="0.4">
      <c r="A18" s="541"/>
      <c r="B18" s="542"/>
      <c r="C18" s="552" t="s">
        <v>1733</v>
      </c>
      <c r="D18" s="477"/>
      <c r="E18" s="477"/>
      <c r="F18" s="553"/>
      <c r="G18" s="553"/>
      <c r="H18" s="553"/>
      <c r="I18" s="554"/>
      <c r="J18" s="1458">
        <f>ทดสอบดิน!J14</f>
        <v>13500</v>
      </c>
      <c r="K18" s="549">
        <f>K15</f>
        <v>1.3083</v>
      </c>
      <c r="L18" s="1468">
        <f>(J18*K18)</f>
        <v>17662.05</v>
      </c>
      <c r="M18" s="547"/>
      <c r="N18" s="548"/>
      <c r="Q18" s="411">
        <f t="shared" si="1"/>
        <v>17173.349999999999</v>
      </c>
    </row>
    <row r="19" spans="1:17" ht="19.2" customHeight="1" x14ac:dyDescent="0.4">
      <c r="A19" s="541"/>
      <c r="B19" s="542"/>
      <c r="C19" s="477" t="s">
        <v>1734</v>
      </c>
      <c r="D19" s="477"/>
      <c r="E19" s="477"/>
      <c r="F19" s="553"/>
      <c r="G19" s="553"/>
      <c r="H19" s="553"/>
      <c r="I19" s="477"/>
      <c r="J19" s="1460">
        <f>ไฟฟ้าใน!J26</f>
        <v>7252.5</v>
      </c>
      <c r="K19" s="1210">
        <f>K15</f>
        <v>1.3083</v>
      </c>
      <c r="L19" s="1456">
        <f>(J19*K19)</f>
        <v>9488.4457500000008</v>
      </c>
      <c r="M19" s="551"/>
      <c r="N19" s="548"/>
      <c r="Q19" s="411">
        <f t="shared" si="1"/>
        <v>9225.9052499999998</v>
      </c>
    </row>
    <row r="20" spans="1:17" ht="18" customHeight="1" x14ac:dyDescent="0.4">
      <c r="A20" s="541"/>
      <c r="B20" s="542"/>
      <c r="C20" s="477" t="s">
        <v>1735</v>
      </c>
      <c r="D20" s="477"/>
      <c r="E20" s="477"/>
      <c r="F20" s="553"/>
      <c r="G20" s="553"/>
      <c r="H20" s="553"/>
      <c r="I20" s="477"/>
      <c r="J20" s="1460">
        <f>'บ่อบาดาล '!J25</f>
        <v>208139.78090000001</v>
      </c>
      <c r="K20" s="1210">
        <f>K15</f>
        <v>1.3083</v>
      </c>
      <c r="L20" s="1456">
        <f t="shared" si="0"/>
        <v>272309.27535147005</v>
      </c>
      <c r="M20" s="555"/>
      <c r="N20" s="548"/>
      <c r="Q20" s="411">
        <f t="shared" si="1"/>
        <v>264774.61528289004</v>
      </c>
    </row>
    <row r="21" spans="1:17" ht="17.399999999999999" customHeight="1" x14ac:dyDescent="0.4">
      <c r="A21" s="541"/>
      <c r="B21" s="542"/>
      <c r="C21" s="1115" t="s">
        <v>1736</v>
      </c>
      <c r="D21" s="477"/>
      <c r="E21" s="477"/>
      <c r="F21" s="477"/>
      <c r="G21" s="477"/>
      <c r="H21" s="477"/>
      <c r="I21" s="543"/>
      <c r="J21" s="1458">
        <f>'สบน.10-1007'!J32</f>
        <v>62120.460519999993</v>
      </c>
      <c r="K21" s="1210">
        <f>K15</f>
        <v>1.3083</v>
      </c>
      <c r="L21" s="1456">
        <f t="shared" si="0"/>
        <v>81272.198498315993</v>
      </c>
      <c r="M21" s="551"/>
      <c r="N21" s="548"/>
      <c r="Q21" s="411">
        <f t="shared" si="1"/>
        <v>79023.437827491987</v>
      </c>
    </row>
    <row r="22" spans="1:17" ht="16.8" customHeight="1" x14ac:dyDescent="0.4">
      <c r="A22" s="541"/>
      <c r="B22" s="542"/>
      <c r="C22" s="1115" t="s">
        <v>1737</v>
      </c>
      <c r="D22" s="477"/>
      <c r="E22" s="477"/>
      <c r="F22" s="477"/>
      <c r="G22" s="477"/>
      <c r="H22" s="477"/>
      <c r="I22" s="543"/>
      <c r="J22" s="1458">
        <f>'สบจ.10-2015'!J67</f>
        <v>322829.22454999998</v>
      </c>
      <c r="K22" s="1210">
        <f>K15</f>
        <v>1.3083</v>
      </c>
      <c r="L22" s="1456">
        <f t="shared" si="0"/>
        <v>422357.47447876498</v>
      </c>
      <c r="M22" s="551"/>
      <c r="N22" s="548"/>
      <c r="Q22" s="411">
        <f>J22*1.2721</f>
        <v>410671.05655005499</v>
      </c>
    </row>
    <row r="23" spans="1:17" ht="18.600000000000001" customHeight="1" x14ac:dyDescent="0.4">
      <c r="A23" s="541"/>
      <c r="B23" s="542"/>
      <c r="C23" s="477" t="s">
        <v>1738</v>
      </c>
      <c r="D23" s="477"/>
      <c r="E23" s="477"/>
      <c r="F23" s="477"/>
      <c r="G23" s="477"/>
      <c r="H23" s="477"/>
      <c r="I23" s="543"/>
      <c r="J23" s="1460">
        <f>ท่อส่งน้ำดิบ!J24</f>
        <v>919.54</v>
      </c>
      <c r="K23" s="1210">
        <f>K15</f>
        <v>1.3083</v>
      </c>
      <c r="L23" s="1456">
        <f t="shared" si="0"/>
        <v>1203.0341819999999</v>
      </c>
      <c r="M23" s="547"/>
      <c r="N23" s="548"/>
      <c r="Q23" s="411">
        <f t="shared" si="1"/>
        <v>1169.746834</v>
      </c>
    </row>
    <row r="24" spans="1:17" ht="19.2" customHeight="1" x14ac:dyDescent="0.4">
      <c r="A24" s="541"/>
      <c r="B24" s="542"/>
      <c r="C24" s="477" t="s">
        <v>1739</v>
      </c>
      <c r="D24" s="477"/>
      <c r="E24" s="477"/>
      <c r="F24" s="477"/>
      <c r="G24" s="477"/>
      <c r="H24" s="477"/>
      <c r="I24" s="543"/>
      <c r="J24" s="1460">
        <f>ท่อจ่ายน้ำ!J34</f>
        <v>8014.6500000000005</v>
      </c>
      <c r="K24" s="1210">
        <f>K15</f>
        <v>1.3083</v>
      </c>
      <c r="L24" s="1456">
        <f t="shared" si="0"/>
        <v>10485.566595</v>
      </c>
      <c r="M24" s="547"/>
      <c r="N24" s="548"/>
      <c r="Q24" s="411">
        <f>J24*1.2721</f>
        <v>10195.436265</v>
      </c>
    </row>
    <row r="25" spans="1:17" ht="18" customHeight="1" x14ac:dyDescent="0.4">
      <c r="A25" s="541"/>
      <c r="B25" s="542"/>
      <c r="C25" s="477" t="s">
        <v>1740</v>
      </c>
      <c r="D25" s="477"/>
      <c r="E25" s="477"/>
      <c r="F25" s="477"/>
      <c r="G25" s="477"/>
      <c r="H25" s="477"/>
      <c r="I25" s="543"/>
      <c r="J25" s="1461"/>
      <c r="K25" s="1210"/>
      <c r="L25" s="1456">
        <v>3000</v>
      </c>
      <c r="M25" s="551"/>
      <c r="N25" s="548"/>
      <c r="Q25" s="411">
        <f>L25</f>
        <v>3000</v>
      </c>
    </row>
    <row r="26" spans="1:17" ht="19.8" customHeight="1" x14ac:dyDescent="0.4">
      <c r="A26" s="541"/>
      <c r="B26" s="542"/>
      <c r="C26" s="495" t="s">
        <v>850</v>
      </c>
      <c r="D26" s="556"/>
      <c r="E26" s="556"/>
      <c r="F26" s="556"/>
      <c r="G26" s="556"/>
      <c r="H26" s="477"/>
      <c r="I26" s="543"/>
      <c r="J26" s="1459"/>
      <c r="K26" s="549"/>
      <c r="L26" s="1457"/>
      <c r="M26" s="547"/>
      <c r="N26" s="548"/>
    </row>
    <row r="27" spans="1:17" ht="15.6" customHeight="1" x14ac:dyDescent="0.4">
      <c r="A27" s="541"/>
      <c r="B27" s="542"/>
      <c r="C27" s="495" t="s">
        <v>651</v>
      </c>
      <c r="D27" s="556"/>
      <c r="E27" s="556"/>
      <c r="F27" s="499">
        <v>7</v>
      </c>
      <c r="G27" s="500" t="s">
        <v>650</v>
      </c>
      <c r="H27" s="553"/>
      <c r="I27" s="554"/>
      <c r="J27" s="1462"/>
      <c r="K27" s="549"/>
      <c r="L27" s="1457"/>
      <c r="M27" s="555"/>
      <c r="N27" s="548"/>
    </row>
    <row r="28" spans="1:17" ht="18" customHeight="1" x14ac:dyDescent="0.4">
      <c r="A28" s="408"/>
      <c r="B28" s="409"/>
      <c r="C28" s="557" t="s">
        <v>654</v>
      </c>
      <c r="D28" s="558"/>
      <c r="E28" s="558"/>
      <c r="F28" s="559">
        <v>7</v>
      </c>
      <c r="G28" s="560" t="s">
        <v>650</v>
      </c>
      <c r="H28" s="418"/>
      <c r="I28" s="419"/>
      <c r="J28" s="1463"/>
      <c r="K28" s="549"/>
      <c r="L28" s="1457"/>
      <c r="M28" s="561"/>
      <c r="N28" s="562"/>
    </row>
    <row r="29" spans="1:17" ht="21.75" customHeight="1" thickBot="1" x14ac:dyDescent="0.45">
      <c r="A29" s="1270"/>
      <c r="B29" s="1271"/>
      <c r="C29" s="1531" t="s">
        <v>855</v>
      </c>
      <c r="D29" s="1532"/>
      <c r="E29" s="1532"/>
      <c r="F29" s="1532"/>
      <c r="G29" s="1532"/>
      <c r="H29" s="1532"/>
      <c r="I29" s="1533"/>
      <c r="J29" s="1464">
        <f>SUM(J15:J28)</f>
        <v>647559.1759700001</v>
      </c>
      <c r="K29" s="565">
        <f>K15</f>
        <v>1.3083</v>
      </c>
      <c r="L29" s="1469">
        <f>SUM(L15:L28)+0.01</f>
        <v>850201.67992155091</v>
      </c>
      <c r="M29" s="566"/>
      <c r="N29" s="567"/>
      <c r="Q29" s="411">
        <f>SUM(Q15:Q28)</f>
        <v>826760.02775143692</v>
      </c>
    </row>
    <row r="30" spans="1:17" ht="21.75" customHeight="1" thickTop="1" thickBot="1" x14ac:dyDescent="0.45">
      <c r="A30" s="1272" t="s">
        <v>135</v>
      </c>
      <c r="B30" s="1273"/>
      <c r="C30" s="1534" t="s">
        <v>852</v>
      </c>
      <c r="D30" s="1535"/>
      <c r="E30" s="1535"/>
      <c r="F30" s="1535"/>
      <c r="G30" s="1535"/>
      <c r="H30" s="1535"/>
      <c r="I30" s="1535"/>
      <c r="J30" s="1535"/>
      <c r="K30" s="1536"/>
      <c r="L30" s="1469">
        <f>L29</f>
        <v>850201.67992155091</v>
      </c>
      <c r="M30" s="566"/>
      <c r="N30" s="567"/>
      <c r="Q30" s="411">
        <f>SUM(Q17:Q29)</f>
        <v>1621993.575760874</v>
      </c>
    </row>
    <row r="31" spans="1:17" ht="21.75" customHeight="1" thickTop="1" x14ac:dyDescent="0.4">
      <c r="A31" s="570"/>
      <c r="B31" s="571"/>
      <c r="C31" s="572" t="s">
        <v>364</v>
      </c>
      <c r="D31" s="572"/>
      <c r="E31" s="572"/>
      <c r="F31" s="572"/>
      <c r="G31" s="572"/>
      <c r="H31" s="572"/>
      <c r="I31" s="1274"/>
      <c r="J31" s="1467" t="str">
        <f>CONCATENATE("(",BAHTTEXT(L30),")")</f>
        <v>(แปดแสนห้าหมื่นสองร้อยเอ็ดบาทหกสิบแปดสตางค์)</v>
      </c>
      <c r="K31" s="1275"/>
      <c r="L31" s="574"/>
      <c r="M31" s="572"/>
      <c r="N31" s="576"/>
      <c r="P31" s="577"/>
      <c r="Q31" s="411">
        <f>SUM(L14:L28)</f>
        <v>850201.6699215509</v>
      </c>
    </row>
    <row r="32" spans="1:17" ht="6.6" customHeight="1" x14ac:dyDescent="0.4">
      <c r="A32" s="1216"/>
      <c r="B32" s="1216"/>
      <c r="C32" s="1216"/>
      <c r="D32" s="1216"/>
      <c r="E32" s="1216"/>
      <c r="F32" s="1216"/>
      <c r="G32" s="1216"/>
      <c r="H32" s="1216"/>
      <c r="I32" s="1276"/>
      <c r="J32" s="1264"/>
      <c r="K32" s="1277"/>
      <c r="L32" s="1266"/>
      <c r="M32" s="1216"/>
      <c r="N32" s="1267"/>
      <c r="P32" s="577"/>
    </row>
    <row r="33" spans="1:26" s="1278" customFormat="1" ht="16.2" customHeight="1" x14ac:dyDescent="0.35">
      <c r="B33" s="1523" t="str">
        <f>IF([2]ข้อมูลเริ่มต้น!$W$71=1,"คณะกรรมการกำหนดราคากลาง"," ")</f>
        <v>คณะกรรมการกำหนดราคากลาง</v>
      </c>
      <c r="C33" s="1523"/>
      <c r="D33" s="1523"/>
      <c r="E33" s="1278" t="s">
        <v>1801</v>
      </c>
      <c r="S33" s="1442"/>
      <c r="T33" s="1442"/>
      <c r="U33" s="1443"/>
      <c r="V33" s="1443"/>
      <c r="W33" s="1443"/>
      <c r="X33" s="1443"/>
      <c r="Y33" s="1444"/>
      <c r="Z33" s="1444"/>
    </row>
    <row r="34" spans="1:26" s="1278" customFormat="1" ht="16.8" customHeight="1" x14ac:dyDescent="0.35">
      <c r="B34" s="1523" t="s">
        <v>1811</v>
      </c>
      <c r="C34" s="1523"/>
      <c r="D34" s="1523"/>
      <c r="E34" s="1523"/>
      <c r="F34" s="1523"/>
      <c r="G34" s="1523"/>
      <c r="H34" s="1523"/>
      <c r="S34" s="1442"/>
      <c r="T34" s="1442"/>
      <c r="U34" s="1443"/>
      <c r="V34" s="1443"/>
      <c r="W34" s="1443"/>
      <c r="X34" s="1443"/>
      <c r="Y34" s="1444"/>
      <c r="Z34" s="1444"/>
    </row>
    <row r="35" spans="1:26" s="1278" customFormat="1" ht="23.4" customHeight="1" x14ac:dyDescent="0.35">
      <c r="A35" s="1445" t="s">
        <v>1810</v>
      </c>
      <c r="B35" s="1445"/>
      <c r="C35" s="1445"/>
      <c r="D35" s="1445"/>
      <c r="E35" s="1445"/>
      <c r="F35" s="1445"/>
      <c r="G35" s="1445"/>
      <c r="H35" s="1445"/>
    </row>
    <row r="36" spans="1:26" s="1442" customFormat="1" ht="21" customHeight="1" x14ac:dyDescent="0.6">
      <c r="B36" s="1446"/>
      <c r="C36" s="1524" t="s">
        <v>1820</v>
      </c>
      <c r="D36" s="1524"/>
      <c r="E36" s="1524"/>
      <c r="F36" s="1524"/>
      <c r="G36" s="1524"/>
      <c r="H36" s="1524"/>
      <c r="I36" s="1524"/>
      <c r="J36" s="1524"/>
      <c r="K36" s="1524"/>
      <c r="L36" s="1524"/>
      <c r="M36" s="1524"/>
      <c r="N36" s="1524"/>
    </row>
    <row r="37" spans="1:26" s="1442" customFormat="1" ht="21" customHeight="1" x14ac:dyDescent="0.6">
      <c r="B37" s="1525" t="s">
        <v>1821</v>
      </c>
      <c r="C37" s="1525"/>
      <c r="D37" s="1525"/>
      <c r="E37" s="1525"/>
      <c r="F37" s="1525"/>
      <c r="G37" s="1525"/>
      <c r="H37" s="1525"/>
      <c r="I37" s="1525"/>
      <c r="J37" s="1525"/>
      <c r="K37" s="1525"/>
      <c r="L37" s="1525"/>
      <c r="M37" s="1525"/>
      <c r="N37" s="1525"/>
      <c r="O37" s="1446"/>
    </row>
    <row r="38" spans="1:26" s="1442" customFormat="1" ht="10.8" customHeight="1" x14ac:dyDescent="0.6">
      <c r="B38" s="1446"/>
      <c r="C38" s="1448"/>
      <c r="D38" s="1448"/>
      <c r="E38" s="1447"/>
      <c r="F38" s="1447"/>
      <c r="G38" s="1446"/>
      <c r="H38" s="1447"/>
      <c r="I38" s="1447"/>
      <c r="J38" s="1447"/>
      <c r="L38" s="1447"/>
      <c r="M38" s="1447"/>
      <c r="N38" s="1447"/>
      <c r="O38" s="1446"/>
    </row>
    <row r="39" spans="1:26" s="1278" customFormat="1" ht="18" x14ac:dyDescent="0.35">
      <c r="A39" s="1445" t="s">
        <v>1822</v>
      </c>
      <c r="B39" s="1445"/>
      <c r="C39" s="1445"/>
      <c r="D39" s="1445"/>
      <c r="E39" s="1445"/>
      <c r="F39" s="1445"/>
      <c r="G39" s="1445"/>
      <c r="H39" s="1449"/>
      <c r="I39" s="1440"/>
    </row>
    <row r="40" spans="1:26" s="1442" customFormat="1" ht="18" x14ac:dyDescent="0.35">
      <c r="B40" s="1446"/>
      <c r="C40" s="1447" t="s">
        <v>1803</v>
      </c>
      <c r="D40" s="1447"/>
      <c r="E40" s="1447"/>
      <c r="F40" s="1447"/>
      <c r="G40" s="1526" t="s">
        <v>1823</v>
      </c>
      <c r="H40" s="1526"/>
      <c r="I40" s="1526"/>
      <c r="J40" s="1526"/>
      <c r="K40" s="1526"/>
      <c r="L40" s="1526"/>
      <c r="M40" s="1526"/>
      <c r="O40" s="1523"/>
      <c r="P40" s="1523"/>
      <c r="Q40" s="1523"/>
    </row>
    <row r="41" spans="1:26" s="1442" customFormat="1" ht="18" x14ac:dyDescent="0.6">
      <c r="B41" s="1446"/>
      <c r="C41" s="1526" t="s">
        <v>1804</v>
      </c>
      <c r="D41" s="1526"/>
      <c r="E41" s="1526"/>
      <c r="F41" s="1526"/>
      <c r="G41" s="1530" t="s">
        <v>1824</v>
      </c>
      <c r="H41" s="1530"/>
      <c r="I41" s="1530"/>
      <c r="J41" s="1530"/>
      <c r="K41" s="1530"/>
      <c r="L41" s="1530"/>
      <c r="M41" s="1530"/>
      <c r="N41" s="1530"/>
    </row>
    <row r="42" spans="1:26" s="1278" customFormat="1" ht="29.4" customHeight="1" x14ac:dyDescent="0.35">
      <c r="A42" s="1445" t="s">
        <v>1825</v>
      </c>
      <c r="B42" s="1445"/>
      <c r="C42" s="1445"/>
      <c r="D42" s="1445"/>
      <c r="E42" s="1445"/>
      <c r="F42" s="1445"/>
      <c r="G42" s="1445"/>
      <c r="H42" s="1445"/>
    </row>
    <row r="43" spans="1:26" s="1442" customFormat="1" ht="18" x14ac:dyDescent="0.6">
      <c r="B43" s="1530" t="s">
        <v>1802</v>
      </c>
      <c r="C43" s="1530"/>
      <c r="D43" s="1530"/>
      <c r="E43" s="1530"/>
      <c r="F43" s="1530"/>
      <c r="G43" s="1447"/>
      <c r="H43" s="1530" t="s">
        <v>1826</v>
      </c>
      <c r="I43" s="1530"/>
      <c r="J43" s="1530"/>
      <c r="K43" s="1530"/>
      <c r="L43" s="1530"/>
      <c r="M43" s="1530"/>
      <c r="N43" s="1530"/>
    </row>
    <row r="44" spans="1:26" s="1442" customFormat="1" ht="18" x14ac:dyDescent="0.6">
      <c r="B44" s="1530" t="s">
        <v>1805</v>
      </c>
      <c r="C44" s="1530"/>
      <c r="D44" s="1530"/>
      <c r="E44" s="1530"/>
      <c r="F44" s="1530"/>
      <c r="G44" s="1530" t="s">
        <v>1827</v>
      </c>
      <c r="H44" s="1530"/>
      <c r="I44" s="1530"/>
      <c r="J44" s="1530"/>
      <c r="K44" s="1530"/>
      <c r="L44" s="1530"/>
      <c r="M44" s="1530"/>
      <c r="N44" s="1530"/>
    </row>
    <row r="45" spans="1:26" s="1450" customFormat="1" ht="18" x14ac:dyDescent="0.35">
      <c r="G45" s="1441"/>
      <c r="H45" s="1441"/>
      <c r="I45" s="1441"/>
      <c r="J45" s="1278"/>
    </row>
  </sheetData>
  <mergeCells count="14">
    <mergeCell ref="B44:F44"/>
    <mergeCell ref="G44:N44"/>
    <mergeCell ref="G40:M40"/>
    <mergeCell ref="O40:Q40"/>
    <mergeCell ref="C41:F41"/>
    <mergeCell ref="G41:N41"/>
    <mergeCell ref="B43:F43"/>
    <mergeCell ref="H43:N43"/>
    <mergeCell ref="B37:N37"/>
    <mergeCell ref="C29:I29"/>
    <mergeCell ref="C30:K30"/>
    <mergeCell ref="B33:D33"/>
    <mergeCell ref="B34:H34"/>
    <mergeCell ref="C36:N36"/>
  </mergeCells>
  <phoneticPr fontId="27" type="noConversion"/>
  <pageMargins left="0.25" right="0.25" top="0.75" bottom="0.75" header="0.3" footer="0.3"/>
  <pageSetup paperSize="9" scale="99" fitToWidth="0" orientation="portrait" r:id="rId1"/>
  <headerFooter alignWithMargins="0"/>
  <rowBreaks count="1" manualBreakCount="1">
    <brk id="4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view="pageBreakPreview" topLeftCell="A10" zoomScale="120" zoomScaleNormal="100" zoomScaleSheetLayoutView="120" workbookViewId="0">
      <selection activeCell="F11" sqref="F11"/>
    </sheetView>
  </sheetViews>
  <sheetFormatPr defaultColWidth="9.125" defaultRowHeight="21" x14ac:dyDescent="0.4"/>
  <cols>
    <col min="1" max="1" width="2.625" style="411" customWidth="1"/>
    <col min="2" max="2" width="3.5" style="411" customWidth="1"/>
    <col min="3" max="3" width="7.75" style="411" customWidth="1"/>
    <col min="4" max="4" width="3.75" style="411" customWidth="1"/>
    <col min="5" max="5" width="16.75" style="411" customWidth="1"/>
    <col min="6" max="6" width="15" style="411" customWidth="1"/>
    <col min="7" max="7" width="3" style="411" customWidth="1"/>
    <col min="8" max="8" width="9.625" style="411" customWidth="1"/>
    <col min="9" max="9" width="2.375" style="411" customWidth="1"/>
    <col min="10" max="10" width="12.5" style="411" customWidth="1"/>
    <col min="11" max="11" width="10.125" style="411" customWidth="1"/>
    <col min="12" max="12" width="12.875" style="411" customWidth="1"/>
    <col min="13" max="13" width="4.125" style="411" customWidth="1"/>
    <col min="14" max="14" width="5" style="411" customWidth="1"/>
    <col min="15" max="15" width="0.875" style="411" customWidth="1"/>
    <col min="16" max="16" width="14.375" style="411" hidden="1" customWidth="1"/>
    <col min="17" max="17" width="17.875" style="411" customWidth="1"/>
    <col min="18" max="16384" width="9.125" style="411"/>
  </cols>
  <sheetData>
    <row r="1" spans="1:16" s="511" customFormat="1" ht="21.75" customHeight="1" x14ac:dyDescent="0.6">
      <c r="H1" s="582"/>
      <c r="N1" s="512" t="s">
        <v>849</v>
      </c>
    </row>
    <row r="2" spans="1:16" ht="3.75" customHeight="1" x14ac:dyDescent="0.4"/>
    <row r="3" spans="1:16" s="515" customFormat="1" ht="33" customHeight="1" x14ac:dyDescent="0.55000000000000004">
      <c r="A3" s="513" t="s">
        <v>848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</row>
    <row r="4" spans="1:16" s="515" customFormat="1" ht="4.5" customHeight="1" x14ac:dyDescent="0.45">
      <c r="A4" s="516"/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</row>
    <row r="5" spans="1:16" ht="21.75" customHeight="1" x14ac:dyDescent="0.4">
      <c r="A5" s="517"/>
      <c r="B5" s="517" t="s">
        <v>683</v>
      </c>
      <c r="C5" s="518"/>
      <c r="D5" s="518"/>
      <c r="E5" s="530" t="s">
        <v>1712</v>
      </c>
      <c r="F5" s="518"/>
      <c r="G5" s="518"/>
      <c r="H5" s="517"/>
      <c r="M5" s="519"/>
      <c r="N5" s="520"/>
    </row>
    <row r="6" spans="1:16" ht="21.75" customHeight="1" x14ac:dyDescent="0.4">
      <c r="A6" s="477"/>
      <c r="B6" s="477" t="s">
        <v>806</v>
      </c>
      <c r="C6" s="477"/>
      <c r="D6" s="477"/>
      <c r="E6" s="521" t="str">
        <f>ปร.5!E6</f>
        <v xml:space="preserve">ก่อสร้างระบบประปาหมู่บ้าน (ปากน้ำ 3) </v>
      </c>
      <c r="F6" s="521"/>
      <c r="G6" s="477"/>
      <c r="H6" s="477"/>
      <c r="I6" s="477"/>
      <c r="J6" s="477"/>
      <c r="K6" s="477"/>
      <c r="L6" s="477"/>
      <c r="M6" s="477"/>
      <c r="N6" s="477"/>
      <c r="P6" s="522" t="s">
        <v>363</v>
      </c>
    </row>
    <row r="7" spans="1:16" ht="21.75" customHeight="1" x14ac:dyDescent="0.4">
      <c r="A7" s="477"/>
      <c r="B7" s="477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6" ht="21.75" customHeight="1" x14ac:dyDescent="0.4">
      <c r="A8" s="477"/>
      <c r="B8" s="477" t="s">
        <v>1797</v>
      </c>
      <c r="C8" s="477"/>
      <c r="D8" s="477"/>
      <c r="E8" s="523"/>
      <c r="F8" s="477"/>
      <c r="G8" s="477"/>
      <c r="H8" s="477"/>
      <c r="I8" s="477"/>
      <c r="J8" s="477"/>
      <c r="K8" s="477"/>
      <c r="L8" s="477"/>
      <c r="M8" s="477"/>
      <c r="N8" s="477"/>
    </row>
    <row r="9" spans="1:16" ht="21.75" customHeight="1" x14ac:dyDescent="0.4">
      <c r="A9" s="477"/>
      <c r="B9" s="477"/>
      <c r="C9" s="477"/>
      <c r="D9" s="477"/>
      <c r="E9" s="523"/>
      <c r="F9" s="477"/>
      <c r="G9" s="477"/>
      <c r="H9" s="477"/>
      <c r="I9" s="477"/>
      <c r="J9" s="477"/>
      <c r="K9" s="477"/>
      <c r="L9" s="477"/>
      <c r="M9" s="477"/>
      <c r="N9" s="477"/>
    </row>
    <row r="10" spans="1:16" ht="21.75" customHeight="1" x14ac:dyDescent="0.4">
      <c r="A10" s="477"/>
      <c r="B10" s="477" t="str">
        <f>ปร.5!B9</f>
        <v>เจ้าของโครงการ เทศบาลตำบลทุ่งหลวง</v>
      </c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7"/>
      <c r="N10" s="477"/>
    </row>
    <row r="11" spans="1:16" ht="21.75" customHeight="1" x14ac:dyDescent="0.4">
      <c r="A11" s="477"/>
      <c r="B11" s="477"/>
      <c r="C11" s="477"/>
      <c r="D11" s="524"/>
      <c r="E11" s="523"/>
      <c r="F11" s="477"/>
      <c r="G11" s="477"/>
      <c r="H11" s="479"/>
      <c r="I11" s="480"/>
      <c r="J11" s="477"/>
      <c r="K11" s="525"/>
      <c r="L11" s="481"/>
      <c r="M11" s="480"/>
      <c r="N11" s="521"/>
    </row>
    <row r="12" spans="1:16" ht="21.75" customHeight="1" x14ac:dyDescent="0.4">
      <c r="A12" s="477"/>
      <c r="B12" s="477"/>
      <c r="C12" s="477"/>
      <c r="D12" s="524"/>
      <c r="E12" s="523"/>
      <c r="F12" s="477"/>
      <c r="G12" s="477"/>
      <c r="H12" s="479"/>
      <c r="I12" s="480"/>
      <c r="J12" s="477"/>
      <c r="K12" s="525" t="str">
        <f>ปร.5!J10</f>
        <v>เมื่อวันที่  1 ธันวาคม  2568</v>
      </c>
      <c r="L12" s="481"/>
      <c r="M12" s="521"/>
      <c r="N12" s="521"/>
    </row>
    <row r="13" spans="1:16" ht="21.75" customHeight="1" x14ac:dyDescent="0.4">
      <c r="D13" s="526"/>
      <c r="E13" s="527"/>
      <c r="H13" s="528"/>
      <c r="I13" s="529"/>
      <c r="K13" s="530"/>
      <c r="L13" s="529"/>
      <c r="M13" s="531"/>
      <c r="N13" s="482" t="s">
        <v>808</v>
      </c>
    </row>
    <row r="14" spans="1:16" ht="4.5" customHeight="1" x14ac:dyDescent="0.4">
      <c r="A14" s="403"/>
      <c r="B14" s="532"/>
      <c r="C14" s="404"/>
      <c r="D14" s="404"/>
      <c r="E14" s="404"/>
      <c r="F14" s="404"/>
      <c r="G14" s="404"/>
      <c r="H14" s="404"/>
      <c r="I14" s="404"/>
      <c r="J14" s="403"/>
      <c r="K14" s="533"/>
      <c r="L14" s="533"/>
      <c r="M14" s="404"/>
      <c r="N14" s="532"/>
    </row>
    <row r="15" spans="1:16" ht="21.75" customHeight="1" x14ac:dyDescent="0.4">
      <c r="A15" s="534" t="s">
        <v>522</v>
      </c>
      <c r="B15" s="409"/>
      <c r="C15" s="518" t="s">
        <v>125</v>
      </c>
      <c r="D15" s="518"/>
      <c r="E15" s="518"/>
      <c r="F15" s="518"/>
      <c r="G15" s="518"/>
      <c r="H15" s="518"/>
      <c r="I15" s="409"/>
      <c r="J15" s="535" t="s">
        <v>375</v>
      </c>
      <c r="K15" s="536" t="s">
        <v>95</v>
      </c>
      <c r="L15" s="534" t="s">
        <v>766</v>
      </c>
      <c r="M15" s="518" t="s">
        <v>761</v>
      </c>
      <c r="N15" s="409"/>
    </row>
    <row r="16" spans="1:16" ht="21.75" customHeight="1" x14ac:dyDescent="0.4">
      <c r="A16" s="427"/>
      <c r="B16" s="428"/>
      <c r="C16" s="537"/>
      <c r="D16" s="537"/>
      <c r="E16" s="537"/>
      <c r="F16" s="537"/>
      <c r="G16" s="537"/>
      <c r="H16" s="537"/>
      <c r="I16" s="428"/>
      <c r="J16" s="538" t="s">
        <v>843</v>
      </c>
      <c r="K16" s="539" t="s">
        <v>851</v>
      </c>
      <c r="L16" s="540" t="s">
        <v>612</v>
      </c>
      <c r="M16" s="538"/>
      <c r="N16" s="428"/>
    </row>
    <row r="17" spans="1:26" ht="21.75" customHeight="1" x14ac:dyDescent="0.4">
      <c r="A17" s="541">
        <v>2</v>
      </c>
      <c r="B17" s="542"/>
      <c r="C17" s="477" t="s">
        <v>845</v>
      </c>
      <c r="D17" s="477"/>
      <c r="E17" s="477"/>
      <c r="F17" s="477"/>
      <c r="G17" s="477"/>
      <c r="H17" s="477"/>
      <c r="I17" s="543"/>
      <c r="J17" s="544"/>
      <c r="K17" s="549"/>
      <c r="L17" s="550"/>
      <c r="M17" s="547"/>
      <c r="N17" s="548"/>
    </row>
    <row r="18" spans="1:26" ht="21.75" customHeight="1" x14ac:dyDescent="0.4">
      <c r="A18" s="541"/>
      <c r="B18" s="542"/>
      <c r="C18" s="710" t="s">
        <v>956</v>
      </c>
      <c r="D18" s="477"/>
      <c r="E18" s="477"/>
      <c r="F18" s="477"/>
      <c r="G18" s="477"/>
      <c r="H18" s="477"/>
      <c r="I18" s="543"/>
      <c r="J18" s="1470">
        <f>เครื่องสูบน้ำบาดาล!J26</f>
        <v>49316.800000000003</v>
      </c>
      <c r="K18" s="1458">
        <f>K$22</f>
        <v>1.07</v>
      </c>
      <c r="L18" s="1458">
        <f>J18*K18</f>
        <v>52768.97600000001</v>
      </c>
      <c r="M18" s="547"/>
      <c r="N18" s="548"/>
      <c r="Q18" s="411">
        <f>J18*1.07</f>
        <v>52768.97600000001</v>
      </c>
    </row>
    <row r="19" spans="1:26" ht="21.75" customHeight="1" x14ac:dyDescent="0.4">
      <c r="A19" s="541"/>
      <c r="B19" s="542"/>
      <c r="C19" s="477" t="s">
        <v>1240</v>
      </c>
      <c r="D19" s="477"/>
      <c r="E19" s="477"/>
      <c r="F19" s="553"/>
      <c r="G19" s="553"/>
      <c r="H19" s="553"/>
      <c r="I19" s="554"/>
      <c r="J19" s="1471">
        <f>เครื่องมือฯประปา!J29</f>
        <v>0</v>
      </c>
      <c r="K19" s="1465">
        <f>K$22</f>
        <v>1.07</v>
      </c>
      <c r="L19" s="1465">
        <f>J19*K19</f>
        <v>0</v>
      </c>
      <c r="M19" s="555"/>
      <c r="N19" s="548"/>
      <c r="Q19" s="411">
        <f>J19*1.07</f>
        <v>0</v>
      </c>
    </row>
    <row r="20" spans="1:26" ht="21.75" customHeight="1" x14ac:dyDescent="0.4">
      <c r="A20" s="541"/>
      <c r="B20" s="542"/>
      <c r="C20" s="477" t="s">
        <v>1241</v>
      </c>
      <c r="D20" s="477"/>
      <c r="E20" s="477"/>
      <c r="F20" s="553"/>
      <c r="G20" s="553"/>
      <c r="H20" s="553"/>
      <c r="I20" s="554"/>
      <c r="J20" s="1471">
        <f>'กรด-ด่าง'!J14</f>
        <v>0</v>
      </c>
      <c r="K20" s="1465">
        <f>K$22</f>
        <v>1.07</v>
      </c>
      <c r="L20" s="1465">
        <f>J20*K20</f>
        <v>0</v>
      </c>
      <c r="M20" s="555"/>
      <c r="N20" s="548"/>
      <c r="Q20" s="411">
        <f>J20*1.07</f>
        <v>0</v>
      </c>
    </row>
    <row r="21" spans="1:26" ht="21.75" customHeight="1" x14ac:dyDescent="0.4">
      <c r="A21" s="408"/>
      <c r="B21" s="409"/>
      <c r="C21" s="411" t="s">
        <v>844</v>
      </c>
      <c r="F21" s="418"/>
      <c r="G21" s="418"/>
      <c r="H21" s="418"/>
      <c r="I21" s="419"/>
      <c r="J21" s="1472">
        <f>ไฟฟ้านอก!J23</f>
        <v>750</v>
      </c>
      <c r="K21" s="1458">
        <v>1</v>
      </c>
      <c r="L21" s="1458">
        <f>J21*K21</f>
        <v>750</v>
      </c>
      <c r="M21" s="561"/>
      <c r="N21" s="562"/>
      <c r="Q21" s="411">
        <f>J21*1.07</f>
        <v>802.5</v>
      </c>
    </row>
    <row r="22" spans="1:26" ht="21.75" customHeight="1" thickBot="1" x14ac:dyDescent="0.45">
      <c r="A22" s="563"/>
      <c r="B22" s="564"/>
      <c r="C22" s="1531" t="s">
        <v>855</v>
      </c>
      <c r="D22" s="1532"/>
      <c r="E22" s="1532"/>
      <c r="F22" s="1532"/>
      <c r="G22" s="1532"/>
      <c r="H22" s="1532"/>
      <c r="I22" s="1533"/>
      <c r="J22" s="1464">
        <f>SUM(J17:J21)</f>
        <v>50066.8</v>
      </c>
      <c r="K22" s="1473">
        <v>1.07</v>
      </c>
      <c r="L22" s="1473">
        <f>SUM(L17:L21)</f>
        <v>53518.97600000001</v>
      </c>
      <c r="M22" s="566"/>
      <c r="N22" s="567"/>
      <c r="Q22" s="411">
        <f>SUM(Q17:Q21)</f>
        <v>53571.47600000001</v>
      </c>
    </row>
    <row r="23" spans="1:26" ht="21.75" customHeight="1" thickTop="1" thickBot="1" x14ac:dyDescent="0.45">
      <c r="A23" s="568" t="s">
        <v>135</v>
      </c>
      <c r="B23" s="569"/>
      <c r="C23" s="1534" t="s">
        <v>852</v>
      </c>
      <c r="D23" s="1535"/>
      <c r="E23" s="1535"/>
      <c r="F23" s="1535"/>
      <c r="G23" s="1535"/>
      <c r="H23" s="1535"/>
      <c r="I23" s="1535"/>
      <c r="J23" s="1535"/>
      <c r="K23" s="1536"/>
      <c r="L23" s="1466">
        <f>L22</f>
        <v>53518.97600000001</v>
      </c>
      <c r="M23" s="566"/>
      <c r="N23" s="567"/>
      <c r="Q23" s="411">
        <f>SUM(Q18:Q22)</f>
        <v>107142.95200000002</v>
      </c>
    </row>
    <row r="24" spans="1:26" ht="21.75" customHeight="1" thickTop="1" x14ac:dyDescent="0.4">
      <c r="A24" s="570"/>
      <c r="B24" s="571"/>
      <c r="C24" s="572" t="s">
        <v>364</v>
      </c>
      <c r="D24" s="572"/>
      <c r="E24" s="572"/>
      <c r="F24" s="572"/>
      <c r="G24" s="572"/>
      <c r="H24" s="572"/>
      <c r="I24" s="573"/>
      <c r="J24" s="1467" t="str">
        <f>CONCATENATE("(",BAHTTEXT(L23),")")</f>
        <v>(ห้าหมื่นสามพันห้าร้อยสิบแปดบาทเก้าสิบแปดสตางค์)</v>
      </c>
      <c r="K24" s="575"/>
      <c r="L24" s="574"/>
      <c r="M24" s="572"/>
      <c r="N24" s="576"/>
      <c r="P24" s="577"/>
      <c r="Q24" s="411">
        <f>SUM(L17:L21)</f>
        <v>53518.97600000001</v>
      </c>
    </row>
    <row r="25" spans="1:26" ht="21.75" customHeight="1" x14ac:dyDescent="0.4">
      <c r="A25" s="1216"/>
      <c r="B25" s="1216"/>
      <c r="C25" s="1216"/>
      <c r="D25" s="1216"/>
      <c r="E25" s="1216"/>
      <c r="F25" s="1216"/>
      <c r="G25" s="1216"/>
      <c r="H25" s="1216"/>
      <c r="I25" s="1263"/>
      <c r="J25" s="1264"/>
      <c r="K25" s="1265"/>
      <c r="L25" s="1266"/>
      <c r="M25" s="1216"/>
      <c r="N25" s="1267"/>
      <c r="P25" s="577"/>
    </row>
    <row r="26" spans="1:26" s="1278" customFormat="1" ht="24" customHeight="1" x14ac:dyDescent="0.35">
      <c r="B26" s="1523" t="str">
        <f>IF([2]ข้อมูลเริ่มต้น!$W$71=1,"คณะกรรมการกำหนดราคากลาง"," ")</f>
        <v>คณะกรรมการกำหนดราคากลาง</v>
      </c>
      <c r="C26" s="1523"/>
      <c r="D26" s="1523"/>
      <c r="E26" s="1278" t="s">
        <v>1801</v>
      </c>
      <c r="S26" s="1442"/>
      <c r="T26" s="1442"/>
      <c r="U26" s="1443"/>
      <c r="V26" s="1443"/>
      <c r="W26" s="1443"/>
      <c r="X26" s="1443"/>
      <c r="Y26" s="1444"/>
      <c r="Z26" s="1444"/>
    </row>
    <row r="27" spans="1:26" s="1278" customFormat="1" ht="24" customHeight="1" x14ac:dyDescent="0.35">
      <c r="B27" s="1523" t="s">
        <v>1811</v>
      </c>
      <c r="C27" s="1523"/>
      <c r="D27" s="1523"/>
      <c r="E27" s="1523"/>
      <c r="F27" s="1523"/>
      <c r="G27" s="1523"/>
      <c r="H27" s="1523"/>
      <c r="S27" s="1442"/>
      <c r="T27" s="1442"/>
      <c r="U27" s="1443"/>
      <c r="V27" s="1443"/>
      <c r="W27" s="1443"/>
      <c r="X27" s="1443"/>
      <c r="Y27" s="1444"/>
      <c r="Z27" s="1444"/>
    </row>
    <row r="28" spans="1:26" s="1278" customFormat="1" ht="34.200000000000003" customHeight="1" x14ac:dyDescent="0.35">
      <c r="A28" s="1445" t="s">
        <v>1810</v>
      </c>
      <c r="B28" s="1445"/>
      <c r="C28" s="1445"/>
      <c r="D28" s="1445"/>
      <c r="E28" s="1445"/>
      <c r="F28" s="1445"/>
      <c r="G28" s="1445"/>
      <c r="H28" s="1445"/>
    </row>
    <row r="29" spans="1:26" s="1442" customFormat="1" ht="21" customHeight="1" x14ac:dyDescent="0.6">
      <c r="B29" s="1446"/>
      <c r="C29" s="1524" t="s">
        <v>1832</v>
      </c>
      <c r="D29" s="1524"/>
      <c r="E29" s="1524"/>
      <c r="F29" s="1524"/>
      <c r="G29" s="1524"/>
      <c r="H29" s="1524"/>
      <c r="I29" s="1524"/>
      <c r="J29" s="1524"/>
      <c r="K29" s="1524"/>
      <c r="L29" s="1524"/>
      <c r="M29" s="1524"/>
      <c r="N29" s="1524"/>
    </row>
    <row r="30" spans="1:26" s="1442" customFormat="1" ht="21" customHeight="1" x14ac:dyDescent="0.6">
      <c r="B30" s="1525" t="s">
        <v>1831</v>
      </c>
      <c r="C30" s="1525"/>
      <c r="D30" s="1525"/>
      <c r="E30" s="1525"/>
      <c r="F30" s="1525"/>
      <c r="G30" s="1525"/>
      <c r="H30" s="1525"/>
      <c r="I30" s="1525"/>
      <c r="J30" s="1525"/>
      <c r="K30" s="1525"/>
      <c r="L30" s="1525"/>
      <c r="M30" s="1525"/>
      <c r="N30" s="1525"/>
      <c r="O30" s="1446"/>
    </row>
    <row r="31" spans="1:26" s="1442" customFormat="1" ht="18" x14ac:dyDescent="0.6">
      <c r="B31" s="1446"/>
      <c r="C31" s="1448"/>
      <c r="D31" s="1448"/>
      <c r="E31" s="1447"/>
      <c r="F31" s="1447"/>
      <c r="G31" s="1446"/>
      <c r="H31" s="1447"/>
      <c r="I31" s="1447"/>
      <c r="J31" s="1447"/>
      <c r="L31" s="1447"/>
      <c r="M31" s="1447"/>
      <c r="N31" s="1447"/>
      <c r="O31" s="1446"/>
    </row>
    <row r="32" spans="1:26" s="1278" customFormat="1" ht="18" x14ac:dyDescent="0.35">
      <c r="A32" s="1445" t="s">
        <v>1829</v>
      </c>
      <c r="B32" s="1445"/>
      <c r="C32" s="1445"/>
      <c r="D32" s="1445"/>
      <c r="E32" s="1445"/>
      <c r="F32" s="1445"/>
      <c r="G32" s="1445"/>
      <c r="H32" s="1449"/>
      <c r="I32" s="1440"/>
    </row>
    <row r="33" spans="1:17" s="1442" customFormat="1" ht="18" x14ac:dyDescent="0.35">
      <c r="B33" s="1446"/>
      <c r="C33" s="1447" t="s">
        <v>1803</v>
      </c>
      <c r="D33" s="1447"/>
      <c r="E33" s="1447"/>
      <c r="F33" s="1447"/>
      <c r="G33" s="1526" t="s">
        <v>1828</v>
      </c>
      <c r="H33" s="1526"/>
      <c r="I33" s="1526"/>
      <c r="J33" s="1526"/>
      <c r="K33" s="1526"/>
      <c r="L33" s="1526"/>
      <c r="M33" s="1526"/>
      <c r="O33" s="1523"/>
      <c r="P33" s="1523"/>
      <c r="Q33" s="1523"/>
    </row>
    <row r="34" spans="1:17" s="1442" customFormat="1" ht="18" x14ac:dyDescent="0.6">
      <c r="B34" s="1446"/>
      <c r="C34" s="1526" t="s">
        <v>1804</v>
      </c>
      <c r="D34" s="1526"/>
      <c r="E34" s="1526"/>
      <c r="F34" s="1526"/>
      <c r="G34" s="1530" t="s">
        <v>1830</v>
      </c>
      <c r="H34" s="1530"/>
      <c r="I34" s="1530"/>
      <c r="J34" s="1530"/>
      <c r="K34" s="1530"/>
      <c r="L34" s="1530"/>
      <c r="M34" s="1530"/>
      <c r="N34" s="1530"/>
    </row>
    <row r="35" spans="1:17" s="1278" customFormat="1" ht="37.200000000000003" customHeight="1" x14ac:dyDescent="0.35">
      <c r="A35" s="1445" t="s">
        <v>1833</v>
      </c>
      <c r="B35" s="1445"/>
      <c r="C35" s="1445"/>
      <c r="D35" s="1445"/>
      <c r="E35" s="1445"/>
      <c r="F35" s="1445"/>
      <c r="G35" s="1445"/>
      <c r="H35" s="1445"/>
    </row>
    <row r="36" spans="1:17" s="1442" customFormat="1" ht="18" x14ac:dyDescent="0.6">
      <c r="B36" s="1530" t="s">
        <v>1802</v>
      </c>
      <c r="C36" s="1530"/>
      <c r="D36" s="1530"/>
      <c r="E36" s="1530"/>
      <c r="F36" s="1530"/>
      <c r="G36" s="1447"/>
      <c r="H36" s="1530" t="s">
        <v>1807</v>
      </c>
      <c r="I36" s="1530"/>
      <c r="J36" s="1530"/>
      <c r="K36" s="1530"/>
      <c r="L36" s="1530"/>
      <c r="M36" s="1530"/>
      <c r="N36" s="1530"/>
    </row>
    <row r="37" spans="1:17" s="1442" customFormat="1" ht="18" x14ac:dyDescent="0.6">
      <c r="B37" s="1530" t="s">
        <v>1805</v>
      </c>
      <c r="C37" s="1530"/>
      <c r="D37" s="1530"/>
      <c r="E37" s="1530"/>
      <c r="F37" s="1530"/>
      <c r="G37" s="1530" t="s">
        <v>1806</v>
      </c>
      <c r="H37" s="1530"/>
      <c r="I37" s="1530"/>
      <c r="J37" s="1530"/>
      <c r="K37" s="1530"/>
      <c r="L37" s="1530"/>
      <c r="M37" s="1530"/>
      <c r="N37" s="1530"/>
    </row>
    <row r="38" spans="1:17" s="1450" customFormat="1" ht="18" x14ac:dyDescent="0.35">
      <c r="G38" s="1441"/>
      <c r="H38" s="1441"/>
      <c r="I38" s="1441"/>
      <c r="J38" s="1278"/>
    </row>
    <row r="39" spans="1:17" customFormat="1" ht="24" customHeight="1" x14ac:dyDescent="0.6">
      <c r="A39" s="1261"/>
      <c r="B39" s="1261"/>
      <c r="C39" s="1261"/>
      <c r="D39" s="1261"/>
      <c r="E39" s="1261"/>
      <c r="F39" s="1261"/>
      <c r="G39" s="1261"/>
      <c r="H39" s="1262"/>
      <c r="I39" s="1262"/>
      <c r="J39" s="1262"/>
      <c r="K39" s="1261"/>
      <c r="L39" s="1261"/>
    </row>
  </sheetData>
  <mergeCells count="14">
    <mergeCell ref="B36:F36"/>
    <mergeCell ref="H36:N36"/>
    <mergeCell ref="B37:F37"/>
    <mergeCell ref="G37:N37"/>
    <mergeCell ref="B30:N30"/>
    <mergeCell ref="G33:M33"/>
    <mergeCell ref="O33:Q33"/>
    <mergeCell ref="C34:F34"/>
    <mergeCell ref="G34:N34"/>
    <mergeCell ref="C22:I22"/>
    <mergeCell ref="C23:K23"/>
    <mergeCell ref="B26:D26"/>
    <mergeCell ref="B27:H27"/>
    <mergeCell ref="C29:N29"/>
  </mergeCells>
  <pageMargins left="0.25" right="0.25" top="0.75" bottom="0.75" header="0.3" footer="0.3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P37" sqref="P37"/>
    </sheetView>
  </sheetViews>
  <sheetFormatPr defaultColWidth="9.125" defaultRowHeight="21" x14ac:dyDescent="0.4"/>
  <cols>
    <col min="1" max="1" width="5.375" style="411" customWidth="1"/>
    <col min="2" max="2" width="6" style="411" customWidth="1"/>
    <col min="3" max="3" width="9.625" style="411" customWidth="1"/>
    <col min="4" max="4" width="6.375" style="411" customWidth="1"/>
    <col min="5" max="5" width="9.625" style="411" customWidth="1"/>
    <col min="6" max="6" width="11.875" style="411" customWidth="1"/>
    <col min="7" max="7" width="8.625" style="411" customWidth="1"/>
    <col min="8" max="8" width="1.75" style="411" customWidth="1"/>
    <col min="9" max="9" width="9" style="411" customWidth="1"/>
    <col min="10" max="10" width="8.75" style="411" customWidth="1"/>
    <col min="11" max="11" width="9" style="411" customWidth="1"/>
    <col min="12" max="12" width="6.875" style="411" customWidth="1"/>
    <col min="13" max="13" width="8.25" style="411" customWidth="1"/>
    <col min="14" max="14" width="1" style="411" customWidth="1"/>
    <col min="15" max="15" width="1.75" style="411" customWidth="1"/>
    <col min="16" max="16384" width="9.125" style="411"/>
  </cols>
  <sheetData>
    <row r="1" spans="1:16" s="511" customFormat="1" ht="21.75" customHeight="1" x14ac:dyDescent="0.6">
      <c r="G1" s="583"/>
      <c r="K1" s="584"/>
      <c r="L1" s="584"/>
      <c r="M1" s="512" t="s">
        <v>853</v>
      </c>
    </row>
    <row r="2" spans="1:16" ht="6" customHeight="1" x14ac:dyDescent="0.4"/>
    <row r="3" spans="1:16" s="515" customFormat="1" ht="33" customHeight="1" x14ac:dyDescent="0.55000000000000004">
      <c r="A3" s="513" t="s">
        <v>816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</row>
    <row r="4" spans="1:16" s="515" customFormat="1" ht="6" customHeight="1" x14ac:dyDescent="0.45">
      <c r="A4" s="514"/>
      <c r="B4" s="514"/>
      <c r="C4" s="514"/>
      <c r="D4" s="514"/>
      <c r="E4" s="514"/>
      <c r="F4" s="514"/>
      <c r="G4" s="514"/>
      <c r="H4" s="514"/>
      <c r="I4" s="514"/>
      <c r="J4" s="514"/>
      <c r="K4" s="514"/>
    </row>
    <row r="5" spans="1:16" ht="21.75" customHeight="1" x14ac:dyDescent="0.4">
      <c r="A5" s="585" t="s">
        <v>683</v>
      </c>
      <c r="B5" s="586"/>
      <c r="C5" s="585" t="s">
        <v>296</v>
      </c>
      <c r="D5" s="585"/>
      <c r="E5" s="586"/>
      <c r="F5" s="586"/>
      <c r="G5" s="585" t="s">
        <v>769</v>
      </c>
      <c r="H5" s="477"/>
      <c r="I5" s="477"/>
      <c r="J5" s="586"/>
      <c r="K5" s="587"/>
      <c r="L5" s="587"/>
      <c r="M5" s="587" t="s">
        <v>362</v>
      </c>
    </row>
    <row r="6" spans="1:16" ht="21.75" customHeight="1" x14ac:dyDescent="0.4">
      <c r="A6" s="556" t="s">
        <v>806</v>
      </c>
      <c r="B6" s="556"/>
      <c r="C6" s="556" t="str">
        <f>ปร.5!E6</f>
        <v xml:space="preserve">ก่อสร้างระบบประปาหมู่บ้าน (ปากน้ำ 3) </v>
      </c>
      <c r="D6" s="588"/>
      <c r="E6" s="588"/>
      <c r="F6" s="556"/>
      <c r="G6" s="556"/>
      <c r="H6" s="556"/>
      <c r="I6" s="556"/>
      <c r="J6" s="556"/>
      <c r="K6" s="556"/>
      <c r="L6" s="556"/>
      <c r="M6" s="589"/>
    </row>
    <row r="7" spans="1:16" ht="21.75" customHeight="1" x14ac:dyDescent="0.4">
      <c r="A7" s="556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7" s="556"/>
      <c r="C7" s="556"/>
      <c r="D7" s="556"/>
      <c r="E7" s="556"/>
      <c r="F7" s="556"/>
      <c r="G7" s="556"/>
      <c r="H7" s="556"/>
      <c r="I7" s="556"/>
      <c r="J7" s="556"/>
      <c r="K7" s="556"/>
      <c r="L7" s="556"/>
      <c r="M7" s="556"/>
    </row>
    <row r="8" spans="1:16" ht="21.75" customHeight="1" x14ac:dyDescent="0.4">
      <c r="A8" s="556" t="s">
        <v>561</v>
      </c>
      <c r="B8" s="556"/>
      <c r="C8" s="756">
        <f>ปร.5!D8</f>
        <v>0</v>
      </c>
      <c r="D8" s="556"/>
      <c r="E8" s="556"/>
      <c r="F8" s="556"/>
      <c r="G8" s="556"/>
      <c r="H8" s="556"/>
      <c r="I8" s="556"/>
      <c r="J8" s="556"/>
      <c r="K8" s="556"/>
      <c r="L8" s="556"/>
      <c r="M8" s="556"/>
    </row>
    <row r="9" spans="1:16" ht="21.75" customHeight="1" x14ac:dyDescent="0.4">
      <c r="A9" s="477"/>
      <c r="B9" s="556"/>
      <c r="C9" s="756" t="e">
        <f>ปร.5!#REF!</f>
        <v>#REF!</v>
      </c>
      <c r="D9" s="556"/>
      <c r="E9" s="556"/>
      <c r="F9" s="556"/>
      <c r="G9" s="556"/>
      <c r="H9" s="556"/>
      <c r="I9" s="556"/>
      <c r="J9" s="556"/>
      <c r="K9" s="556"/>
      <c r="L9" s="556"/>
      <c r="M9" s="556"/>
    </row>
    <row r="10" spans="1:16" ht="21.75" customHeight="1" x14ac:dyDescent="0.4">
      <c r="A10" s="477" t="str">
        <f>ปร.5!B9</f>
        <v>เจ้าของโครงการ เทศบาลตำบลทุ่งหลวง</v>
      </c>
      <c r="B10" s="556"/>
      <c r="C10" s="7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</row>
    <row r="11" spans="1:16" ht="21.75" customHeight="1" x14ac:dyDescent="0.4">
      <c r="A11" s="477">
        <f>ปร.5!B10</f>
        <v>0</v>
      </c>
      <c r="B11" s="556"/>
      <c r="C11" s="556"/>
      <c r="D11" s="556"/>
      <c r="E11" s="556"/>
      <c r="F11" s="556"/>
      <c r="G11" s="556"/>
      <c r="H11" s="556"/>
      <c r="I11" s="556"/>
      <c r="J11" s="590" t="str">
        <f>ปร.5!J10</f>
        <v>เมื่อวันที่  1 ธันวาคม  2568</v>
      </c>
      <c r="K11" s="480"/>
      <c r="L11" s="556"/>
      <c r="M11" s="556"/>
    </row>
    <row r="12" spans="1:16" ht="21.75" customHeight="1" x14ac:dyDescent="0.4">
      <c r="A12" s="389" t="s">
        <v>727</v>
      </c>
      <c r="B12" s="591"/>
      <c r="C12" s="592"/>
      <c r="D12" s="592"/>
      <c r="E12" s="592"/>
      <c r="F12" s="592"/>
      <c r="G12" s="591"/>
      <c r="H12" s="591"/>
      <c r="I12" s="591"/>
      <c r="J12" s="591"/>
      <c r="K12" s="591"/>
      <c r="L12" s="380"/>
      <c r="M12" s="380"/>
      <c r="N12" s="380"/>
    </row>
    <row r="13" spans="1:16" ht="61.5" customHeight="1" x14ac:dyDescent="0.4">
      <c r="A13" s="593" t="s">
        <v>522</v>
      </c>
      <c r="B13" s="594" t="s">
        <v>125</v>
      </c>
      <c r="C13" s="595"/>
      <c r="D13" s="595"/>
      <c r="E13" s="595"/>
      <c r="F13" s="593" t="s">
        <v>144</v>
      </c>
      <c r="G13" s="593" t="s">
        <v>761</v>
      </c>
      <c r="H13" s="380"/>
      <c r="I13" s="596" t="s">
        <v>773</v>
      </c>
      <c r="J13" s="596" t="s">
        <v>774</v>
      </c>
      <c r="K13" s="596" t="s">
        <v>772</v>
      </c>
      <c r="L13" s="380"/>
      <c r="M13" s="380"/>
    </row>
    <row r="14" spans="1:16" ht="21.75" customHeight="1" x14ac:dyDescent="0.4">
      <c r="A14" s="597">
        <v>1</v>
      </c>
      <c r="B14" s="598" t="s">
        <v>1632</v>
      </c>
      <c r="C14" s="599"/>
      <c r="D14" s="599"/>
      <c r="E14" s="600"/>
      <c r="F14" s="601">
        <f>(I14+J14)*ปร.5!K29</f>
        <v>37679.040000000001</v>
      </c>
      <c r="G14" s="602"/>
      <c r="H14" s="380"/>
      <c r="I14" s="603">
        <f>'สบจ.10-2015'!G56</f>
        <v>19200</v>
      </c>
      <c r="J14" s="603">
        <f>'สบจ.10-2015'!I56+'สบจ.10-2015'!I58</f>
        <v>9600</v>
      </c>
      <c r="K14" s="603">
        <f>I14+J14</f>
        <v>28800</v>
      </c>
      <c r="L14" s="380"/>
      <c r="M14" s="380"/>
    </row>
    <row r="15" spans="1:16" ht="21.75" customHeight="1" x14ac:dyDescent="0.4">
      <c r="A15" s="604">
        <v>2</v>
      </c>
      <c r="B15" s="605" t="s">
        <v>306</v>
      </c>
      <c r="C15" s="606"/>
      <c r="D15" s="606"/>
      <c r="E15" s="607"/>
      <c r="F15" s="608">
        <f>SUM(I15:J15)*ปร.5!K29</f>
        <v>13083</v>
      </c>
      <c r="G15" s="609"/>
      <c r="H15" s="380"/>
      <c r="I15" s="610">
        <v>0</v>
      </c>
      <c r="J15" s="610">
        <f>'สบจ.10-2015'!I59</f>
        <v>10000</v>
      </c>
      <c r="K15" s="610">
        <f>I15+J15</f>
        <v>10000</v>
      </c>
      <c r="L15" s="380"/>
      <c r="M15" s="380"/>
    </row>
    <row r="16" spans="1:16" ht="21.75" customHeight="1" x14ac:dyDescent="0.4">
      <c r="A16" s="611"/>
      <c r="B16" s="612" t="s">
        <v>381</v>
      </c>
      <c r="C16" s="612"/>
      <c r="D16" s="612"/>
      <c r="E16" s="613"/>
      <c r="F16" s="614">
        <f>SUM(F14:F15)</f>
        <v>50762.04</v>
      </c>
      <c r="G16" s="615"/>
      <c r="H16" s="380"/>
      <c r="I16" s="380"/>
      <c r="J16" s="380"/>
      <c r="K16" s="380"/>
      <c r="L16" s="380"/>
      <c r="M16" s="380"/>
      <c r="P16" s="411">
        <f>ROUNDDOWN(F16,0)</f>
        <v>50762</v>
      </c>
    </row>
    <row r="17" spans="1:16" ht="21.75" customHeight="1" x14ac:dyDescent="0.4">
      <c r="A17" s="616" t="s">
        <v>138</v>
      </c>
      <c r="B17" s="617"/>
      <c r="C17" s="617"/>
      <c r="D17" s="617"/>
      <c r="E17" s="617"/>
      <c r="F17" s="1116" t="str">
        <f>CONCATENATE("(",BAHTTEXT(P16),")")</f>
        <v>(ห้าหมื่นเจ็ดร้อยหกสิบสองบาทถ้วน)</v>
      </c>
      <c r="G17" s="618"/>
      <c r="H17" s="380"/>
      <c r="I17" s="380"/>
      <c r="J17" s="380"/>
      <c r="K17" s="380"/>
      <c r="L17" s="380"/>
      <c r="M17" s="380"/>
    </row>
    <row r="18" spans="1:16" ht="6" customHeight="1" x14ac:dyDescent="0.4">
      <c r="A18" s="619"/>
      <c r="B18" s="380"/>
      <c r="C18" s="380"/>
      <c r="D18" s="380"/>
      <c r="E18" s="380"/>
      <c r="F18" s="619"/>
      <c r="G18" s="619"/>
      <c r="H18" s="380"/>
      <c r="I18" s="380"/>
      <c r="J18" s="380"/>
      <c r="K18" s="380"/>
      <c r="L18" s="380"/>
      <c r="M18" s="380"/>
    </row>
    <row r="19" spans="1:16" ht="28.5" customHeight="1" x14ac:dyDescent="0.4">
      <c r="A19" s="380" t="s">
        <v>384</v>
      </c>
      <c r="B19" s="380"/>
      <c r="C19" s="380"/>
      <c r="D19" s="380"/>
      <c r="E19" s="380"/>
      <c r="F19" s="380"/>
      <c r="G19" s="380"/>
      <c r="H19" s="380"/>
      <c r="I19" s="380"/>
      <c r="J19" s="380"/>
      <c r="K19" s="380"/>
      <c r="L19" s="380"/>
      <c r="M19" s="380"/>
    </row>
    <row r="20" spans="1:16" ht="82.5" customHeight="1" x14ac:dyDescent="0.4">
      <c r="A20" s="620" t="s">
        <v>522</v>
      </c>
      <c r="B20" s="594" t="s">
        <v>125</v>
      </c>
      <c r="C20" s="595"/>
      <c r="D20" s="595"/>
      <c r="E20" s="595"/>
      <c r="F20" s="620" t="s">
        <v>728</v>
      </c>
      <c r="G20" s="620" t="s">
        <v>729</v>
      </c>
      <c r="H20" s="380"/>
      <c r="I20" s="621" t="s">
        <v>770</v>
      </c>
      <c r="J20" s="621" t="s">
        <v>771</v>
      </c>
      <c r="K20" s="621" t="s">
        <v>817</v>
      </c>
      <c r="L20" s="620" t="s">
        <v>388</v>
      </c>
      <c r="M20" s="620" t="s">
        <v>389</v>
      </c>
    </row>
    <row r="21" spans="1:16" ht="21.75" customHeight="1" x14ac:dyDescent="0.4">
      <c r="A21" s="597">
        <v>1</v>
      </c>
      <c r="B21" s="598" t="str">
        <f>B14</f>
        <v>หอถังสูงเหล็ก ขนาด ๑๕ ลบ.ม. สูง ๒๐ ม.</v>
      </c>
      <c r="C21" s="599"/>
      <c r="D21" s="599"/>
      <c r="E21" s="600"/>
      <c r="F21" s="622">
        <f>G21*M21</f>
        <v>37679.040000000001</v>
      </c>
      <c r="G21" s="623">
        <f>F14/96</f>
        <v>392.49</v>
      </c>
      <c r="H21" s="380"/>
      <c r="I21" s="624">
        <f>I14/96</f>
        <v>200</v>
      </c>
      <c r="J21" s="624">
        <f>J14/96</f>
        <v>100</v>
      </c>
      <c r="K21" s="624">
        <f>I21+J21</f>
        <v>300</v>
      </c>
      <c r="L21" s="624">
        <v>0</v>
      </c>
      <c r="M21" s="625">
        <f>16*(6-L21)</f>
        <v>96</v>
      </c>
    </row>
    <row r="22" spans="1:16" ht="21.75" customHeight="1" x14ac:dyDescent="0.4">
      <c r="A22" s="604">
        <v>2</v>
      </c>
      <c r="B22" s="605" t="s">
        <v>306</v>
      </c>
      <c r="C22" s="606"/>
      <c r="D22" s="606"/>
      <c r="E22" s="607"/>
      <c r="F22" s="626">
        <f>F15</f>
        <v>13083</v>
      </c>
      <c r="G22" s="627"/>
      <c r="H22" s="380"/>
      <c r="I22" s="380"/>
      <c r="J22" s="380"/>
      <c r="K22" s="380"/>
      <c r="L22" s="380"/>
      <c r="M22" s="619"/>
    </row>
    <row r="23" spans="1:16" ht="21.75" customHeight="1" x14ac:dyDescent="0.4">
      <c r="A23" s="614"/>
      <c r="B23" s="628" t="s">
        <v>381</v>
      </c>
      <c r="C23" s="612"/>
      <c r="D23" s="612"/>
      <c r="E23" s="613"/>
      <c r="F23" s="618">
        <f>SUM(F21:F22)</f>
        <v>50762.04</v>
      </c>
      <c r="G23" s="629"/>
      <c r="H23" s="380"/>
      <c r="I23" s="380"/>
      <c r="J23" s="380"/>
      <c r="K23" s="380"/>
      <c r="L23" s="380"/>
      <c r="M23" s="380"/>
      <c r="P23" s="411">
        <f>ROUNDDOWN(F23,0)</f>
        <v>50762</v>
      </c>
    </row>
    <row r="24" spans="1:16" ht="21.75" customHeight="1" x14ac:dyDescent="0.4">
      <c r="A24" s="630" t="s">
        <v>138</v>
      </c>
      <c r="B24" s="631"/>
      <c r="C24" s="617"/>
      <c r="D24" s="617"/>
      <c r="E24" s="617"/>
      <c r="F24" s="1116" t="str">
        <f>CONCATENATE("(",BAHTTEXT(P23),")")</f>
        <v>(ห้าหมื่นเจ็ดร้อยหกสิบสองบาทถ้วน)</v>
      </c>
      <c r="G24" s="632"/>
      <c r="H24" s="380"/>
      <c r="I24" s="380"/>
      <c r="J24" s="380"/>
      <c r="K24" s="380"/>
      <c r="L24" s="380"/>
      <c r="M24" s="380"/>
    </row>
    <row r="25" spans="1:16" ht="6" customHeight="1" x14ac:dyDescent="0.4">
      <c r="A25" s="619"/>
      <c r="B25" s="380"/>
      <c r="C25" s="380"/>
      <c r="D25" s="380"/>
      <c r="E25" s="380"/>
      <c r="F25" s="619"/>
      <c r="G25" s="619"/>
      <c r="H25" s="380"/>
      <c r="I25" s="380"/>
      <c r="J25" s="380"/>
      <c r="K25" s="380"/>
      <c r="L25" s="380"/>
      <c r="M25" s="380"/>
    </row>
    <row r="26" spans="1:16" ht="28.5" customHeight="1" x14ac:dyDescent="0.4">
      <c r="A26" s="380" t="s">
        <v>391</v>
      </c>
      <c r="B26" s="380"/>
      <c r="C26" s="380"/>
      <c r="D26" s="380"/>
      <c r="E26" s="380"/>
      <c r="F26" s="380"/>
      <c r="G26" s="380"/>
      <c r="H26" s="380"/>
      <c r="I26" s="380"/>
      <c r="J26" s="380"/>
      <c r="K26" s="380"/>
      <c r="L26" s="380"/>
      <c r="M26" s="380"/>
    </row>
    <row r="27" spans="1:16" ht="42.75" customHeight="1" x14ac:dyDescent="0.4">
      <c r="A27" s="620" t="s">
        <v>522</v>
      </c>
      <c r="B27" s="594" t="s">
        <v>125</v>
      </c>
      <c r="C27" s="595"/>
      <c r="D27" s="595"/>
      <c r="E27" s="595"/>
      <c r="F27" s="620" t="s">
        <v>559</v>
      </c>
      <c r="G27" s="620" t="s">
        <v>761</v>
      </c>
      <c r="H27" s="380"/>
      <c r="I27" s="380"/>
      <c r="J27" s="380"/>
      <c r="K27" s="380"/>
      <c r="L27" s="380"/>
      <c r="M27" s="380"/>
    </row>
    <row r="28" spans="1:16" ht="21.75" customHeight="1" x14ac:dyDescent="0.4">
      <c r="A28" s="633">
        <v>1</v>
      </c>
      <c r="B28" s="634" t="s">
        <v>392</v>
      </c>
      <c r="C28" s="634"/>
      <c r="D28" s="634"/>
      <c r="E28" s="635"/>
      <c r="F28" s="636">
        <f>ไฟฟ้านอก!K12</f>
        <v>0</v>
      </c>
      <c r="G28" s="637"/>
      <c r="H28" s="380"/>
      <c r="I28" s="380"/>
      <c r="J28" s="380"/>
      <c r="K28" s="380"/>
      <c r="L28" s="380"/>
      <c r="M28" s="380"/>
    </row>
    <row r="29" spans="1:16" ht="21.75" customHeight="1" x14ac:dyDescent="0.4">
      <c r="A29" s="638">
        <v>2</v>
      </c>
      <c r="B29" s="639" t="s">
        <v>393</v>
      </c>
      <c r="C29" s="639"/>
      <c r="D29" s="639"/>
      <c r="E29" s="640"/>
      <c r="F29" s="641">
        <f>ไฟฟ้านอก!K16</f>
        <v>0</v>
      </c>
      <c r="G29" s="642"/>
      <c r="H29" s="380"/>
      <c r="I29" s="380"/>
      <c r="J29" s="380"/>
      <c r="K29" s="380"/>
      <c r="L29" s="380"/>
      <c r="M29" s="380"/>
    </row>
    <row r="30" spans="1:16" ht="21.75" customHeight="1" x14ac:dyDescent="0.4">
      <c r="A30" s="611"/>
      <c r="B30" s="612" t="s">
        <v>381</v>
      </c>
      <c r="C30" s="612"/>
      <c r="D30" s="612"/>
      <c r="E30" s="612"/>
      <c r="F30" s="618">
        <f>SUM(F28:F29)</f>
        <v>0</v>
      </c>
      <c r="G30" s="615"/>
      <c r="H30" s="380"/>
      <c r="I30" s="380"/>
      <c r="J30" s="380"/>
      <c r="K30" s="380"/>
      <c r="L30" s="380"/>
      <c r="M30" s="380"/>
    </row>
    <row r="31" spans="1:16" ht="21.75" customHeight="1" x14ac:dyDescent="0.4">
      <c r="A31" s="643" t="s">
        <v>394</v>
      </c>
      <c r="B31" s="591"/>
      <c r="C31" s="591"/>
      <c r="D31" s="591"/>
      <c r="E31" s="591"/>
      <c r="F31" s="1116" t="str">
        <f>CONCATENATE("(",BAHTTEXT(F30),")")</f>
        <v>(ศูนย์บาทถ้วน)</v>
      </c>
      <c r="G31" s="618"/>
      <c r="H31" s="380"/>
      <c r="I31" s="380"/>
      <c r="J31" s="380"/>
      <c r="K31" s="380"/>
      <c r="L31" s="380"/>
      <c r="M31" s="380"/>
    </row>
    <row r="32" spans="1:16" ht="48" customHeight="1" x14ac:dyDescent="0.4">
      <c r="A32" s="530" t="s">
        <v>560</v>
      </c>
      <c r="C32" s="578"/>
      <c r="D32" s="578"/>
      <c r="E32" s="578"/>
      <c r="G32" s="528" t="s">
        <v>140</v>
      </c>
      <c r="H32" s="578"/>
      <c r="I32" s="578"/>
      <c r="J32" s="578"/>
      <c r="K32" s="578"/>
    </row>
    <row r="33" spans="2:11" ht="21.75" customHeight="1" x14ac:dyDescent="0.4">
      <c r="C33" s="529"/>
      <c r="D33" s="579" t="e">
        <f>ปร.5!#REF!</f>
        <v>#REF!</v>
      </c>
      <c r="H33" s="580"/>
      <c r="I33" s="580" t="e">
        <f>ปร.5!#REF!</f>
        <v>#REF!</v>
      </c>
      <c r="J33" s="580"/>
    </row>
    <row r="34" spans="2:11" ht="48.75" customHeight="1" x14ac:dyDescent="0.4">
      <c r="B34" s="528" t="s">
        <v>712</v>
      </c>
      <c r="C34" s="578"/>
      <c r="D34" s="578"/>
      <c r="E34" s="578"/>
      <c r="G34" s="528" t="s">
        <v>141</v>
      </c>
      <c r="H34" s="578"/>
      <c r="I34" s="578"/>
      <c r="J34" s="578"/>
      <c r="K34" s="578"/>
    </row>
    <row r="35" spans="2:11" ht="21.75" customHeight="1" x14ac:dyDescent="0.4">
      <c r="C35" s="529"/>
      <c r="D35" s="529" t="e">
        <f>ปร.5!#REF!</f>
        <v>#REF!</v>
      </c>
      <c r="H35" s="581"/>
      <c r="I35" s="580" t="e">
        <f>ปร.5!#REF!</f>
        <v>#REF!</v>
      </c>
      <c r="J35" s="580"/>
    </row>
    <row r="36" spans="2:11" ht="3.75" customHeight="1" x14ac:dyDescent="0.4"/>
  </sheetData>
  <phoneticPr fontId="27" type="noConversion"/>
  <pageMargins left="1" right="0.45" top="0.5" bottom="0.5" header="0.25" footer="0.25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4"/>
  <sheetViews>
    <sheetView zoomScale="90" zoomScaleSheetLayoutView="90" workbookViewId="0">
      <selection activeCell="A8" sqref="A8"/>
    </sheetView>
  </sheetViews>
  <sheetFormatPr defaultColWidth="9.125" defaultRowHeight="21" x14ac:dyDescent="0.6"/>
  <cols>
    <col min="1" max="1" width="5.75" style="272" customWidth="1"/>
    <col min="2" max="2" width="15" style="272" customWidth="1"/>
    <col min="3" max="3" width="18.75" style="272" customWidth="1"/>
    <col min="4" max="4" width="4.75" style="285" customWidth="1"/>
    <col min="5" max="5" width="5.75" style="284" customWidth="1"/>
    <col min="6" max="11" width="8.75" style="272" customWidth="1"/>
    <col min="12" max="12" width="1.75" style="272" customWidth="1"/>
    <col min="13" max="16384" width="9.125" style="272"/>
  </cols>
  <sheetData>
    <row r="1" spans="1:15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5" s="652" customFormat="1" ht="23.25" customHeight="1" x14ac:dyDescent="0.35">
      <c r="A2" s="644" t="s">
        <v>822</v>
      </c>
      <c r="B2" s="645"/>
      <c r="C2" s="646" t="s">
        <v>818</v>
      </c>
      <c r="D2" s="647"/>
      <c r="E2" s="645"/>
      <c r="F2" s="648"/>
      <c r="G2" s="648"/>
      <c r="H2" s="649"/>
      <c r="I2" s="653" t="s">
        <v>143</v>
      </c>
      <c r="J2" s="654">
        <v>1</v>
      </c>
      <c r="K2" s="650"/>
    </row>
    <row r="3" spans="1:15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 t="s">
        <v>120</v>
      </c>
      <c r="J3" s="658" t="s">
        <v>959</v>
      </c>
      <c r="K3" s="659"/>
    </row>
    <row r="4" spans="1:15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5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5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5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5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5" ht="21.75" customHeight="1" x14ac:dyDescent="0.6">
      <c r="A9" s="1121">
        <v>1</v>
      </c>
      <c r="B9" s="1117" t="s">
        <v>1677</v>
      </c>
      <c r="C9" s="1117"/>
      <c r="D9" s="1135">
        <v>0.3</v>
      </c>
      <c r="E9" s="1128" t="s">
        <v>562</v>
      </c>
      <c r="F9" s="1173"/>
      <c r="G9" s="1123"/>
      <c r="H9" s="1173"/>
      <c r="I9" s="1123"/>
      <c r="J9" s="1136"/>
      <c r="K9" s="280"/>
    </row>
    <row r="10" spans="1:15" ht="21.75" customHeight="1" x14ac:dyDescent="0.6">
      <c r="A10" s="1121">
        <v>2</v>
      </c>
      <c r="B10" s="1130" t="s">
        <v>1678</v>
      </c>
      <c r="C10" s="1117"/>
      <c r="D10" s="1135">
        <v>0.3</v>
      </c>
      <c r="E10" s="1128" t="s">
        <v>562</v>
      </c>
      <c r="F10" s="1173"/>
      <c r="G10" s="1123"/>
      <c r="H10" s="1173"/>
      <c r="I10" s="1123"/>
      <c r="J10" s="1136"/>
      <c r="K10" s="281"/>
      <c r="N10" s="272">
        <f>1691+(2.04*50*2.4)</f>
        <v>1935.8</v>
      </c>
    </row>
    <row r="11" spans="1:15" ht="21.75" customHeight="1" x14ac:dyDescent="0.6">
      <c r="A11" s="1121">
        <v>3</v>
      </c>
      <c r="B11" s="1131" t="s">
        <v>1679</v>
      </c>
      <c r="C11" s="1124"/>
      <c r="D11" s="1174">
        <v>2E-3</v>
      </c>
      <c r="E11" s="1128" t="s">
        <v>1680</v>
      </c>
      <c r="F11" s="1129"/>
      <c r="G11" s="1129"/>
      <c r="H11" s="1129"/>
      <c r="I11" s="1129"/>
      <c r="J11" s="1125"/>
      <c r="K11" s="309" t="s">
        <v>840</v>
      </c>
    </row>
    <row r="12" spans="1:15" ht="21.75" customHeight="1" x14ac:dyDescent="0.6">
      <c r="A12" s="1175">
        <v>4</v>
      </c>
      <c r="B12" s="1131" t="s">
        <v>1681</v>
      </c>
      <c r="C12" s="1124"/>
      <c r="D12" s="1135">
        <v>1</v>
      </c>
      <c r="E12" s="1128" t="s">
        <v>1682</v>
      </c>
      <c r="F12" s="1173"/>
      <c r="G12" s="1125"/>
      <c r="H12" s="1176"/>
      <c r="I12" s="1125"/>
      <c r="J12" s="1137"/>
      <c r="K12" s="281"/>
    </row>
    <row r="13" spans="1:15" ht="21.75" customHeight="1" x14ac:dyDescent="0.6">
      <c r="A13" s="1121">
        <v>5</v>
      </c>
      <c r="B13" s="1117" t="s">
        <v>1683</v>
      </c>
      <c r="C13" s="1117"/>
      <c r="D13" s="1135">
        <v>1</v>
      </c>
      <c r="E13" s="1128" t="s">
        <v>179</v>
      </c>
      <c r="F13" s="1173"/>
      <c r="G13" s="1123"/>
      <c r="H13" s="1176"/>
      <c r="I13" s="1177"/>
      <c r="J13" s="1136"/>
      <c r="K13" s="281"/>
    </row>
    <row r="14" spans="1:15" ht="21.75" customHeight="1" x14ac:dyDescent="0.6">
      <c r="A14" s="1121">
        <v>6</v>
      </c>
      <c r="B14" s="1178" t="s">
        <v>1684</v>
      </c>
      <c r="C14" s="1117"/>
      <c r="D14" s="1179">
        <v>0.5</v>
      </c>
      <c r="E14" s="1180" t="s">
        <v>123</v>
      </c>
      <c r="F14" s="1173"/>
      <c r="G14" s="1181"/>
      <c r="H14" s="1176"/>
      <c r="I14" s="1177"/>
      <c r="J14" s="1136"/>
      <c r="K14" s="281"/>
    </row>
    <row r="15" spans="1:15" ht="21.75" customHeight="1" x14ac:dyDescent="0.6">
      <c r="A15" s="1121">
        <v>7</v>
      </c>
      <c r="B15" s="1117" t="s">
        <v>1685</v>
      </c>
      <c r="C15" s="1117"/>
      <c r="D15" s="1135">
        <v>4</v>
      </c>
      <c r="E15" s="1128" t="s">
        <v>717</v>
      </c>
      <c r="F15" s="1173"/>
      <c r="G15" s="1123"/>
      <c r="H15" s="1176"/>
      <c r="I15" s="1177"/>
      <c r="J15" s="1136"/>
      <c r="K15" s="281"/>
    </row>
    <row r="16" spans="1:15" ht="21.75" customHeight="1" x14ac:dyDescent="0.6">
      <c r="A16" s="1121">
        <v>8</v>
      </c>
      <c r="B16" s="1117" t="s">
        <v>1686</v>
      </c>
      <c r="C16" s="1117"/>
      <c r="D16" s="1135">
        <v>2</v>
      </c>
      <c r="E16" s="1128" t="s">
        <v>717</v>
      </c>
      <c r="F16" s="1173"/>
      <c r="G16" s="1123"/>
      <c r="H16" s="1176"/>
      <c r="I16" s="1177"/>
      <c r="J16" s="1136"/>
      <c r="K16" s="281"/>
      <c r="N16" s="306">
        <f>SUM(G11:G16)</f>
        <v>0</v>
      </c>
      <c r="O16" s="307">
        <f>N16*0.2</f>
        <v>0</v>
      </c>
    </row>
    <row r="17" spans="1:11" ht="21.75" customHeight="1" x14ac:dyDescent="0.6">
      <c r="A17" s="1121">
        <v>9</v>
      </c>
      <c r="B17" s="1117" t="s">
        <v>639</v>
      </c>
      <c r="C17" s="1124"/>
      <c r="D17" s="1135">
        <v>2.5</v>
      </c>
      <c r="E17" s="1122" t="s">
        <v>636</v>
      </c>
      <c r="F17" s="1173"/>
      <c r="G17" s="1123"/>
      <c r="H17" s="1173"/>
      <c r="I17" s="1123"/>
      <c r="J17" s="1136"/>
      <c r="K17" s="281"/>
    </row>
    <row r="18" spans="1:11" ht="21.75" customHeight="1" x14ac:dyDescent="0.6">
      <c r="A18" s="1121">
        <v>10</v>
      </c>
      <c r="B18" s="1117" t="s">
        <v>841</v>
      </c>
      <c r="C18" s="1124"/>
      <c r="D18" s="1135">
        <v>2</v>
      </c>
      <c r="E18" s="1122" t="s">
        <v>636</v>
      </c>
      <c r="F18" s="1173"/>
      <c r="G18" s="1123"/>
      <c r="H18" s="1173"/>
      <c r="I18" s="1123"/>
      <c r="J18" s="1136"/>
      <c r="K18" s="281"/>
    </row>
    <row r="19" spans="1:11" ht="21.75" customHeight="1" x14ac:dyDescent="0.6">
      <c r="A19" s="1121"/>
      <c r="B19" s="1117"/>
      <c r="C19" s="1124"/>
      <c r="D19" s="1135"/>
      <c r="E19" s="1122"/>
      <c r="F19" s="1173"/>
      <c r="G19" s="1123"/>
      <c r="H19" s="1176"/>
      <c r="I19" s="1177"/>
      <c r="J19" s="1136"/>
      <c r="K19" s="1124"/>
    </row>
    <row r="20" spans="1:11" ht="21.75" customHeight="1" x14ac:dyDescent="0.6">
      <c r="A20" s="1194"/>
      <c r="B20" s="1141"/>
      <c r="C20" s="1142" t="s">
        <v>373</v>
      </c>
      <c r="D20" s="1143"/>
      <c r="E20" s="1144"/>
      <c r="F20" s="1145"/>
      <c r="G20" s="1146"/>
      <c r="H20" s="1147"/>
      <c r="I20" s="1146"/>
      <c r="J20" s="1148"/>
      <c r="K20" s="1195"/>
    </row>
    <row r="21" spans="1:11" ht="21.75" customHeight="1" x14ac:dyDescent="0.6">
      <c r="A21" s="1119"/>
      <c r="B21" s="1150"/>
      <c r="C21" s="1133" t="s">
        <v>405</v>
      </c>
      <c r="D21" s="1151"/>
      <c r="E21" s="1120"/>
      <c r="F21" s="1152"/>
      <c r="G21" s="1134"/>
      <c r="H21" s="1153"/>
      <c r="I21" s="1134"/>
      <c r="J21" s="1134"/>
      <c r="K21" s="1196"/>
    </row>
    <row r="22" spans="1:11" ht="21.75" customHeight="1" x14ac:dyDescent="0.6"/>
    <row r="23" spans="1:11" ht="21.75" customHeight="1" x14ac:dyDescent="0.6">
      <c r="H23" s="272" t="s">
        <v>809</v>
      </c>
    </row>
    <row r="24" spans="1:11" ht="21.75" customHeight="1" x14ac:dyDescent="0.6"/>
    <row r="25" spans="1:11" ht="21.75" customHeight="1" x14ac:dyDescent="0.6"/>
    <row r="26" spans="1:11" ht="21.75" customHeight="1" x14ac:dyDescent="0.6"/>
    <row r="27" spans="1:11" ht="21.75" customHeight="1" x14ac:dyDescent="0.6"/>
    <row r="28" spans="1:11" ht="21.75" customHeight="1" x14ac:dyDescent="0.6"/>
    <row r="29" spans="1:11" ht="21.75" customHeight="1" x14ac:dyDescent="0.6"/>
    <row r="30" spans="1:11" ht="21.75" customHeight="1" x14ac:dyDescent="0.6"/>
    <row r="31" spans="1:11" ht="21.75" customHeight="1" x14ac:dyDescent="0.6"/>
    <row r="32" spans="1:11" ht="21.75" customHeight="1" x14ac:dyDescent="0.6"/>
    <row r="33" ht="21.75" customHeight="1" x14ac:dyDescent="0.6"/>
    <row r="34" ht="21.75" customHeight="1" x14ac:dyDescent="0.6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  <row r="98" ht="21.75" customHeight="1" x14ac:dyDescent="0.6"/>
    <row r="99" ht="21.75" customHeight="1" x14ac:dyDescent="0.6"/>
    <row r="100" ht="21.75" customHeight="1" x14ac:dyDescent="0.6"/>
    <row r="101" ht="21.75" customHeight="1" x14ac:dyDescent="0.6"/>
    <row r="102" ht="21.75" customHeight="1" x14ac:dyDescent="0.6"/>
    <row r="103" ht="21.75" customHeight="1" x14ac:dyDescent="0.6"/>
    <row r="104" ht="21.75" customHeight="1" x14ac:dyDescent="0.6"/>
    <row r="105" ht="21.75" customHeight="1" x14ac:dyDescent="0.6"/>
    <row r="106" ht="21.75" customHeight="1" x14ac:dyDescent="0.6"/>
    <row r="107" ht="21.75" customHeight="1" x14ac:dyDescent="0.6"/>
    <row r="108" ht="21.75" customHeight="1" x14ac:dyDescent="0.6"/>
    <row r="109" ht="21.75" customHeight="1" x14ac:dyDescent="0.6"/>
    <row r="110" ht="21.75" customHeight="1" x14ac:dyDescent="0.6"/>
    <row r="111" ht="21.75" customHeight="1" x14ac:dyDescent="0.6"/>
    <row r="112" ht="21.75" customHeight="1" x14ac:dyDescent="0.6"/>
    <row r="113" ht="21.75" customHeight="1" x14ac:dyDescent="0.6"/>
    <row r="114" ht="21.75" customHeight="1" x14ac:dyDescent="0.6"/>
    <row r="115" ht="21.75" customHeight="1" x14ac:dyDescent="0.6"/>
    <row r="116" ht="21.75" customHeight="1" x14ac:dyDescent="0.6"/>
    <row r="117" ht="21.75" customHeight="1" x14ac:dyDescent="0.6"/>
    <row r="118" ht="21.75" customHeight="1" x14ac:dyDescent="0.6"/>
    <row r="119" ht="21.75" customHeight="1" x14ac:dyDescent="0.6"/>
    <row r="120" ht="21.75" customHeight="1" x14ac:dyDescent="0.6"/>
    <row r="121" ht="21.75" customHeight="1" x14ac:dyDescent="0.6"/>
    <row r="122" ht="21.75" customHeight="1" x14ac:dyDescent="0.6"/>
    <row r="123" ht="21.75" customHeight="1" x14ac:dyDescent="0.6"/>
    <row r="124" ht="21.75" customHeight="1" x14ac:dyDescent="0.6"/>
    <row r="125" ht="21.75" customHeight="1" x14ac:dyDescent="0.6"/>
    <row r="126" ht="21.75" customHeight="1" x14ac:dyDescent="0.6"/>
    <row r="127" ht="21.75" customHeight="1" x14ac:dyDescent="0.6"/>
    <row r="128" ht="21.75" customHeight="1" x14ac:dyDescent="0.6"/>
    <row r="129" ht="21.75" customHeight="1" x14ac:dyDescent="0.6"/>
    <row r="130" ht="21.75" customHeight="1" x14ac:dyDescent="0.6"/>
    <row r="131" ht="21.75" customHeight="1" x14ac:dyDescent="0.6"/>
    <row r="132" ht="21.75" customHeight="1" x14ac:dyDescent="0.6"/>
    <row r="133" ht="21.75" customHeight="1" x14ac:dyDescent="0.6"/>
    <row r="134" ht="21.75" customHeight="1" x14ac:dyDescent="0.6"/>
    <row r="135" ht="21.75" customHeight="1" x14ac:dyDescent="0.6"/>
    <row r="136" ht="21.75" customHeight="1" x14ac:dyDescent="0.6"/>
    <row r="137" ht="21.75" customHeight="1" x14ac:dyDescent="0.6"/>
    <row r="138" ht="21.75" customHeight="1" x14ac:dyDescent="0.6"/>
    <row r="139" ht="21.75" customHeight="1" x14ac:dyDescent="0.6"/>
    <row r="140" ht="21.75" customHeight="1" x14ac:dyDescent="0.6"/>
    <row r="141" ht="21.75" customHeight="1" x14ac:dyDescent="0.6"/>
    <row r="142" ht="21.75" customHeight="1" x14ac:dyDescent="0.6"/>
    <row r="143" ht="21.75" customHeight="1" x14ac:dyDescent="0.6"/>
    <row r="144" ht="21.75" customHeight="1" x14ac:dyDescent="0.6"/>
    <row r="145" ht="21.75" customHeight="1" x14ac:dyDescent="0.6"/>
    <row r="146" ht="21.75" customHeight="1" x14ac:dyDescent="0.6"/>
    <row r="147" ht="21.75" customHeight="1" x14ac:dyDescent="0.6"/>
    <row r="148" ht="21.75" customHeight="1" x14ac:dyDescent="0.6"/>
    <row r="149" ht="21.75" customHeight="1" x14ac:dyDescent="0.6"/>
    <row r="150" ht="21.75" customHeight="1" x14ac:dyDescent="0.6"/>
    <row r="151" ht="21.75" customHeight="1" x14ac:dyDescent="0.6"/>
    <row r="152" ht="21.75" customHeight="1" x14ac:dyDescent="0.6"/>
    <row r="153" ht="21.75" customHeight="1" x14ac:dyDescent="0.6"/>
    <row r="154" ht="21.75" customHeight="1" x14ac:dyDescent="0.6"/>
    <row r="155" ht="21.75" customHeight="1" x14ac:dyDescent="0.6"/>
    <row r="156" ht="21.75" customHeight="1" x14ac:dyDescent="0.6"/>
    <row r="157" ht="21.75" customHeight="1" x14ac:dyDescent="0.6"/>
    <row r="158" ht="21.75" customHeight="1" x14ac:dyDescent="0.6"/>
    <row r="159" ht="21.75" customHeight="1" x14ac:dyDescent="0.6"/>
    <row r="160" ht="21.75" customHeight="1" x14ac:dyDescent="0.6"/>
    <row r="161" ht="21.75" customHeight="1" x14ac:dyDescent="0.6"/>
    <row r="162" ht="21.75" customHeight="1" x14ac:dyDescent="0.6"/>
    <row r="163" ht="21.75" customHeight="1" x14ac:dyDescent="0.6"/>
    <row r="164" ht="21.75" customHeight="1" x14ac:dyDescent="0.6"/>
    <row r="165" ht="21.75" customHeight="1" x14ac:dyDescent="0.6"/>
    <row r="166" ht="21.75" customHeight="1" x14ac:dyDescent="0.6"/>
    <row r="167" ht="21.75" customHeight="1" x14ac:dyDescent="0.6"/>
    <row r="168" ht="21.75" customHeight="1" x14ac:dyDescent="0.6"/>
    <row r="169" ht="21.75" customHeight="1" x14ac:dyDescent="0.6"/>
    <row r="170" ht="21.75" customHeight="1" x14ac:dyDescent="0.6"/>
    <row r="171" ht="21.75" customHeight="1" x14ac:dyDescent="0.6"/>
    <row r="172" ht="21.75" customHeight="1" x14ac:dyDescent="0.6"/>
    <row r="173" ht="21.75" customHeight="1" x14ac:dyDescent="0.6"/>
    <row r="174" ht="21.75" customHeight="1" x14ac:dyDescent="0.6"/>
    <row r="175" ht="21.75" customHeight="1" x14ac:dyDescent="0.6"/>
    <row r="176" ht="21.75" customHeight="1" x14ac:dyDescent="0.6"/>
    <row r="177" ht="21.75" customHeight="1" x14ac:dyDescent="0.6"/>
    <row r="178" ht="21.75" customHeight="1" x14ac:dyDescent="0.6"/>
    <row r="179" ht="21.75" customHeight="1" x14ac:dyDescent="0.6"/>
    <row r="180" ht="21.75" customHeight="1" x14ac:dyDescent="0.6"/>
    <row r="181" ht="21.75" customHeight="1" x14ac:dyDescent="0.6"/>
    <row r="182" ht="21.75" customHeight="1" x14ac:dyDescent="0.6"/>
    <row r="183" ht="21.75" customHeight="1" x14ac:dyDescent="0.6"/>
    <row r="184" ht="21.75" customHeight="1" x14ac:dyDescent="0.6"/>
    <row r="185" ht="21.75" customHeight="1" x14ac:dyDescent="0.6"/>
    <row r="186" ht="21.75" customHeight="1" x14ac:dyDescent="0.6"/>
    <row r="187" ht="21.75" customHeight="1" x14ac:dyDescent="0.6"/>
    <row r="188" ht="21.75" customHeight="1" x14ac:dyDescent="0.6"/>
    <row r="189" ht="21.75" customHeight="1" x14ac:dyDescent="0.6"/>
    <row r="190" ht="21.75" customHeight="1" x14ac:dyDescent="0.6"/>
    <row r="191" ht="21.75" customHeight="1" x14ac:dyDescent="0.6"/>
    <row r="192" ht="21.75" customHeight="1" x14ac:dyDescent="0.6"/>
    <row r="193" ht="21.75" customHeight="1" x14ac:dyDescent="0.6"/>
    <row r="194" ht="21.75" customHeight="1" x14ac:dyDescent="0.6"/>
    <row r="195" ht="21.75" customHeight="1" x14ac:dyDescent="0.6"/>
    <row r="196" ht="21.75" customHeight="1" x14ac:dyDescent="0.6"/>
    <row r="197" ht="21.75" customHeight="1" x14ac:dyDescent="0.6"/>
    <row r="198" ht="21.75" customHeight="1" x14ac:dyDescent="0.6"/>
    <row r="199" ht="21.75" customHeight="1" x14ac:dyDescent="0.6"/>
    <row r="200" ht="21.75" customHeight="1" x14ac:dyDescent="0.6"/>
    <row r="201" ht="21.75" customHeight="1" x14ac:dyDescent="0.6"/>
    <row r="202" ht="21.75" customHeight="1" x14ac:dyDescent="0.6"/>
    <row r="203" ht="21.75" customHeight="1" x14ac:dyDescent="0.6"/>
    <row r="204" ht="21.75" customHeight="1" x14ac:dyDescent="0.6"/>
    <row r="205" ht="21.75" customHeight="1" x14ac:dyDescent="0.6"/>
    <row r="206" ht="21.75" customHeight="1" x14ac:dyDescent="0.6"/>
    <row r="207" ht="21.75" customHeight="1" x14ac:dyDescent="0.6"/>
    <row r="208" ht="21.75" customHeight="1" x14ac:dyDescent="0.6"/>
    <row r="209" ht="21.75" customHeight="1" x14ac:dyDescent="0.6"/>
    <row r="210" ht="21.75" customHeight="1" x14ac:dyDescent="0.6"/>
    <row r="211" ht="21.75" customHeight="1" x14ac:dyDescent="0.6"/>
    <row r="212" ht="21.75" customHeight="1" x14ac:dyDescent="0.6"/>
    <row r="213" ht="21.75" customHeight="1" x14ac:dyDescent="0.6"/>
    <row r="214" ht="21.75" customHeight="1" x14ac:dyDescent="0.6"/>
    <row r="215" ht="21.75" customHeight="1" x14ac:dyDescent="0.6"/>
    <row r="216" ht="21.75" customHeight="1" x14ac:dyDescent="0.6"/>
    <row r="217" ht="21.75" customHeight="1" x14ac:dyDescent="0.6"/>
    <row r="218" ht="21.75" customHeight="1" x14ac:dyDescent="0.6"/>
    <row r="219" ht="21.75" customHeight="1" x14ac:dyDescent="0.6"/>
    <row r="220" ht="21.75" customHeight="1" x14ac:dyDescent="0.6"/>
    <row r="221" ht="21.75" customHeight="1" x14ac:dyDescent="0.6"/>
    <row r="222" ht="21.75" customHeight="1" x14ac:dyDescent="0.6"/>
    <row r="223" ht="21.75" customHeight="1" x14ac:dyDescent="0.6"/>
    <row r="224" ht="21.75" customHeight="1" x14ac:dyDescent="0.6"/>
    <row r="225" ht="21.75" customHeight="1" x14ac:dyDescent="0.6"/>
    <row r="226" ht="21.75" customHeight="1" x14ac:dyDescent="0.6"/>
    <row r="227" ht="21.75" customHeight="1" x14ac:dyDescent="0.6"/>
    <row r="228" ht="21.75" customHeight="1" x14ac:dyDescent="0.6"/>
    <row r="229" ht="21.75" customHeight="1" x14ac:dyDescent="0.6"/>
    <row r="230" ht="21.75" customHeight="1" x14ac:dyDescent="0.6"/>
    <row r="231" ht="21.75" customHeight="1" x14ac:dyDescent="0.6"/>
    <row r="232" ht="21.75" customHeight="1" x14ac:dyDescent="0.6"/>
    <row r="233" ht="21.75" customHeight="1" x14ac:dyDescent="0.6"/>
    <row r="234" ht="21.75" customHeight="1" x14ac:dyDescent="0.6"/>
    <row r="235" ht="21.75" customHeight="1" x14ac:dyDescent="0.6"/>
    <row r="236" ht="21.75" customHeight="1" x14ac:dyDescent="0.6"/>
    <row r="237" ht="21.75" customHeight="1" x14ac:dyDescent="0.6"/>
    <row r="238" ht="21.75" customHeight="1" x14ac:dyDescent="0.6"/>
    <row r="239" ht="21.75" customHeight="1" x14ac:dyDescent="0.6"/>
    <row r="240" ht="21.75" customHeight="1" x14ac:dyDescent="0.6"/>
    <row r="241" ht="21.75" customHeight="1" x14ac:dyDescent="0.6"/>
    <row r="242" ht="21.75" customHeight="1" x14ac:dyDescent="0.6"/>
    <row r="243" ht="21.75" customHeight="1" x14ac:dyDescent="0.6"/>
    <row r="244" ht="21.75" customHeight="1" x14ac:dyDescent="0.6"/>
    <row r="245" ht="21.75" customHeight="1" x14ac:dyDescent="0.6"/>
    <row r="246" ht="21.75" customHeight="1" x14ac:dyDescent="0.6"/>
    <row r="247" ht="21.75" customHeight="1" x14ac:dyDescent="0.6"/>
    <row r="248" ht="21.75" customHeight="1" x14ac:dyDescent="0.6"/>
    <row r="249" ht="21.75" customHeight="1" x14ac:dyDescent="0.6"/>
    <row r="250" ht="21.75" customHeight="1" x14ac:dyDescent="0.6"/>
    <row r="251" ht="21.75" customHeight="1" x14ac:dyDescent="0.6"/>
    <row r="252" ht="21.75" customHeight="1" x14ac:dyDescent="0.6"/>
    <row r="253" ht="21.75" customHeight="1" x14ac:dyDescent="0.6"/>
    <row r="254" ht="21.75" customHeight="1" x14ac:dyDescent="0.6"/>
    <row r="255" ht="21.75" customHeight="1" x14ac:dyDescent="0.6"/>
    <row r="256" ht="21.75" customHeight="1" x14ac:dyDescent="0.6"/>
    <row r="257" ht="21.75" customHeight="1" x14ac:dyDescent="0.6"/>
    <row r="258" ht="21.75" customHeight="1" x14ac:dyDescent="0.6"/>
    <row r="259" ht="21.75" customHeight="1" x14ac:dyDescent="0.6"/>
    <row r="260" ht="21.75" customHeight="1" x14ac:dyDescent="0.6"/>
    <row r="261" ht="21.75" customHeight="1" x14ac:dyDescent="0.6"/>
    <row r="262" ht="21.75" customHeight="1" x14ac:dyDescent="0.6"/>
    <row r="263" ht="21.75" customHeight="1" x14ac:dyDescent="0.6"/>
    <row r="264" ht="21.75" customHeight="1" x14ac:dyDescent="0.6"/>
    <row r="265" ht="21.75" customHeight="1" x14ac:dyDescent="0.6"/>
    <row r="266" ht="21.75" customHeight="1" x14ac:dyDescent="0.6"/>
    <row r="267" ht="21.75" customHeight="1" x14ac:dyDescent="0.6"/>
    <row r="268" ht="21.75" customHeight="1" x14ac:dyDescent="0.6"/>
    <row r="269" ht="21.75" customHeight="1" x14ac:dyDescent="0.6"/>
    <row r="270" ht="21.75" customHeight="1" x14ac:dyDescent="0.6"/>
    <row r="271" ht="21.75" customHeight="1" x14ac:dyDescent="0.6"/>
    <row r="272" ht="21.75" customHeight="1" x14ac:dyDescent="0.6"/>
    <row r="273" ht="21.75" customHeight="1" x14ac:dyDescent="0.6"/>
    <row r="274" ht="21.75" customHeight="1" x14ac:dyDescent="0.6"/>
  </sheetData>
  <phoneticPr fontId="27" type="noConversion"/>
  <printOptions horizontalCentered="1"/>
  <pageMargins left="0.5" right="0.3" top="0.75" bottom="0.5" header="0.5" footer="0.25"/>
  <pageSetup paperSize="9" orientation="portrait" r:id="rId1"/>
  <headerFooter alignWithMargins="0">
    <oddHeader>&amp;Rแบบ ปร.4 แผ่นที่ &amp;P/1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opLeftCell="A7" zoomScale="90" workbookViewId="0">
      <selection activeCell="R20" sqref="R20"/>
    </sheetView>
  </sheetViews>
  <sheetFormatPr defaultColWidth="9.125" defaultRowHeight="21" x14ac:dyDescent="0.6"/>
  <cols>
    <col min="1" max="1" width="5.25" style="272" customWidth="1"/>
    <col min="2" max="2" width="14.875" style="272" customWidth="1"/>
    <col min="3" max="3" width="18.75" style="272" customWidth="1"/>
    <col min="4" max="4" width="4.75" style="272" customWidth="1"/>
    <col min="5" max="5" width="5.75" style="272" customWidth="1"/>
    <col min="6" max="6" width="8.75" style="272" customWidth="1"/>
    <col min="7" max="7" width="9.125" style="272" customWidth="1"/>
    <col min="8" max="9" width="8.75" style="272" customWidth="1"/>
    <col min="10" max="10" width="9.25" style="272" customWidth="1"/>
    <col min="11" max="11" width="9.375" style="272" customWidth="1"/>
    <col min="12" max="12" width="1.125" style="272" customWidth="1"/>
    <col min="13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60" t="s">
        <v>989</v>
      </c>
      <c r="D2" s="647"/>
      <c r="E2" s="645"/>
      <c r="F2" s="648"/>
      <c r="G2" s="649"/>
      <c r="H2" s="649"/>
      <c r="I2" s="653" t="s">
        <v>143</v>
      </c>
      <c r="J2" s="654">
        <v>2</v>
      </c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 t="s">
        <v>120</v>
      </c>
      <c r="J3" s="658" t="s">
        <v>960</v>
      </c>
      <c r="K3" s="689" t="s">
        <v>1579</v>
      </c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ht="21.75" customHeight="1" x14ac:dyDescent="0.6">
      <c r="A9" s="310"/>
      <c r="B9" s="311" t="s">
        <v>961</v>
      </c>
      <c r="C9" s="312"/>
      <c r="D9" s="293"/>
      <c r="E9" s="294"/>
      <c r="F9" s="313"/>
      <c r="G9" s="291"/>
      <c r="H9" s="314"/>
      <c r="I9" s="291"/>
      <c r="J9" s="280"/>
      <c r="K9" s="315"/>
    </row>
    <row r="10" spans="1:11" ht="21.75" customHeight="1" x14ac:dyDescent="0.6">
      <c r="A10" s="1121">
        <v>1.1000000000000001</v>
      </c>
      <c r="B10" s="1117" t="s">
        <v>637</v>
      </c>
      <c r="C10" s="1117"/>
      <c r="D10" s="1135">
        <v>1</v>
      </c>
      <c r="E10" s="1128" t="s">
        <v>562</v>
      </c>
      <c r="F10" s="1173"/>
      <c r="G10" s="1123"/>
      <c r="H10" s="1176"/>
      <c r="I10" s="1123"/>
      <c r="J10" s="1137"/>
      <c r="K10" s="309"/>
    </row>
    <row r="11" spans="1:11" ht="21.75" customHeight="1" x14ac:dyDescent="0.6">
      <c r="A11" s="1121">
        <v>1.2</v>
      </c>
      <c r="B11" s="1117" t="s">
        <v>962</v>
      </c>
      <c r="C11" s="1117"/>
      <c r="D11" s="1135">
        <v>0.128</v>
      </c>
      <c r="E11" s="1128" t="s">
        <v>562</v>
      </c>
      <c r="F11" s="1173"/>
      <c r="G11" s="1123"/>
      <c r="H11" s="1176"/>
      <c r="I11" s="1123"/>
      <c r="J11" s="1137"/>
      <c r="K11" s="309"/>
    </row>
    <row r="12" spans="1:11" ht="21.75" customHeight="1" x14ac:dyDescent="0.6">
      <c r="A12" s="1121">
        <v>1.3</v>
      </c>
      <c r="B12" s="1130" t="s">
        <v>301</v>
      </c>
      <c r="C12" s="1117"/>
      <c r="D12" s="1135">
        <v>0.128</v>
      </c>
      <c r="E12" s="1128" t="s">
        <v>562</v>
      </c>
      <c r="F12" s="1173"/>
      <c r="G12" s="1123"/>
      <c r="H12" s="1176"/>
      <c r="I12" s="1123"/>
      <c r="J12" s="1137"/>
      <c r="K12" s="309"/>
    </row>
    <row r="13" spans="1:11" ht="21.75" customHeight="1" x14ac:dyDescent="0.6">
      <c r="A13" s="1121">
        <v>1.4</v>
      </c>
      <c r="B13" s="1182" t="s">
        <v>638</v>
      </c>
      <c r="C13" s="1117"/>
      <c r="D13" s="1135">
        <v>0.4</v>
      </c>
      <c r="E13" s="1128" t="s">
        <v>562</v>
      </c>
      <c r="F13" s="1173"/>
      <c r="G13" s="1123"/>
      <c r="H13" s="1176"/>
      <c r="I13" s="1123"/>
      <c r="J13" s="1137"/>
      <c r="K13" s="309"/>
    </row>
    <row r="14" spans="1:11" ht="21.75" customHeight="1" x14ac:dyDescent="0.6">
      <c r="A14" s="1121">
        <v>1.5</v>
      </c>
      <c r="B14" s="1131" t="s">
        <v>963</v>
      </c>
      <c r="C14" s="1124"/>
      <c r="D14" s="1135">
        <v>4.761E-2</v>
      </c>
      <c r="E14" s="1128" t="s">
        <v>1680</v>
      </c>
      <c r="F14" s="1129"/>
      <c r="G14" s="1129"/>
      <c r="H14" s="1129"/>
      <c r="I14" s="1129"/>
      <c r="J14" s="1125"/>
      <c r="K14" s="281"/>
    </row>
    <row r="15" spans="1:11" ht="21.75" customHeight="1" x14ac:dyDescent="0.6">
      <c r="A15" s="1121">
        <v>1.6</v>
      </c>
      <c r="B15" s="1131" t="s">
        <v>303</v>
      </c>
      <c r="C15" s="1124"/>
      <c r="D15" s="1135">
        <v>0.7</v>
      </c>
      <c r="E15" s="1128" t="s">
        <v>563</v>
      </c>
      <c r="F15" s="1129"/>
      <c r="G15" s="1129"/>
      <c r="H15" s="1129"/>
      <c r="I15" s="1129"/>
      <c r="J15" s="1125"/>
      <c r="K15" s="281"/>
    </row>
    <row r="16" spans="1:11" ht="21.75" customHeight="1" x14ac:dyDescent="0.6">
      <c r="A16" s="1121">
        <v>1.7</v>
      </c>
      <c r="B16" s="1117" t="s">
        <v>1687</v>
      </c>
      <c r="C16" s="1117"/>
      <c r="D16" s="1135">
        <v>3</v>
      </c>
      <c r="E16" s="1128" t="s">
        <v>179</v>
      </c>
      <c r="F16" s="1173"/>
      <c r="G16" s="1123"/>
      <c r="H16" s="1176"/>
      <c r="I16" s="1125"/>
      <c r="J16" s="1137"/>
      <c r="K16" s="309"/>
    </row>
    <row r="17" spans="1:15" ht="21.75" customHeight="1" x14ac:dyDescent="0.6">
      <c r="A17" s="1121">
        <v>1.8</v>
      </c>
      <c r="B17" s="1140" t="s">
        <v>964</v>
      </c>
      <c r="C17" s="1117"/>
      <c r="D17" s="1135">
        <v>5.25</v>
      </c>
      <c r="E17" s="1128" t="s">
        <v>636</v>
      </c>
      <c r="F17" s="1173"/>
      <c r="G17" s="1123"/>
      <c r="H17" s="1176"/>
      <c r="I17" s="1125"/>
      <c r="J17" s="1137"/>
      <c r="K17" s="281"/>
    </row>
    <row r="18" spans="1:15" ht="21.75" customHeight="1" x14ac:dyDescent="0.6">
      <c r="A18" s="1121">
        <v>1.9</v>
      </c>
      <c r="B18" s="1117" t="s">
        <v>965</v>
      </c>
      <c r="C18" s="1117"/>
      <c r="D18" s="1135">
        <v>6</v>
      </c>
      <c r="E18" s="1128" t="s">
        <v>717</v>
      </c>
      <c r="F18" s="1173"/>
      <c r="G18" s="1123"/>
      <c r="H18" s="1176"/>
      <c r="I18" s="1125"/>
      <c r="J18" s="1137"/>
      <c r="K18" s="281"/>
    </row>
    <row r="19" spans="1:15" ht="21.75" customHeight="1" x14ac:dyDescent="0.6">
      <c r="A19" s="1132">
        <v>1.1000000000000001</v>
      </c>
      <c r="B19" s="1117" t="s">
        <v>966</v>
      </c>
      <c r="C19" s="1117"/>
      <c r="D19" s="1135">
        <v>2</v>
      </c>
      <c r="E19" s="1128" t="s">
        <v>553</v>
      </c>
      <c r="F19" s="1173"/>
      <c r="G19" s="1123"/>
      <c r="H19" s="1176"/>
      <c r="I19" s="1125"/>
      <c r="J19" s="1137"/>
      <c r="K19" s="281"/>
      <c r="M19" s="308">
        <f>SUM(G16:G19)</f>
        <v>0</v>
      </c>
      <c r="N19" s="307">
        <f>M19*0.2</f>
        <v>0</v>
      </c>
    </row>
    <row r="20" spans="1:15" ht="21.75" customHeight="1" x14ac:dyDescent="0.6">
      <c r="A20" s="1121">
        <v>1.1100000000000001</v>
      </c>
      <c r="B20" s="1117" t="s">
        <v>967</v>
      </c>
      <c r="C20" s="1117"/>
      <c r="D20" s="1135">
        <v>3</v>
      </c>
      <c r="E20" s="1128" t="s">
        <v>636</v>
      </c>
      <c r="F20" s="1173"/>
      <c r="G20" s="1123"/>
      <c r="H20" s="1173"/>
      <c r="I20" s="1123"/>
      <c r="J20" s="1137"/>
      <c r="K20" s="281"/>
    </row>
    <row r="21" spans="1:15" ht="21.75" customHeight="1" x14ac:dyDescent="0.6">
      <c r="A21" s="1121">
        <v>1.1200000000000001</v>
      </c>
      <c r="B21" s="1117" t="s">
        <v>968</v>
      </c>
      <c r="C21" s="1117"/>
      <c r="D21" s="1135">
        <v>3</v>
      </c>
      <c r="E21" s="1128" t="s">
        <v>636</v>
      </c>
      <c r="F21" s="1173"/>
      <c r="G21" s="1123"/>
      <c r="H21" s="1173"/>
      <c r="I21" s="1123"/>
      <c r="J21" s="1137"/>
      <c r="K21" s="281"/>
    </row>
    <row r="22" spans="1:15" ht="21.75" customHeight="1" x14ac:dyDescent="0.6">
      <c r="A22" s="1121">
        <v>1.1299999999999999</v>
      </c>
      <c r="B22" s="1117" t="s">
        <v>639</v>
      </c>
      <c r="C22" s="1117"/>
      <c r="D22" s="1135">
        <v>2</v>
      </c>
      <c r="E22" s="1128" t="s">
        <v>636</v>
      </c>
      <c r="F22" s="1173"/>
      <c r="G22" s="1123"/>
      <c r="H22" s="1173"/>
      <c r="I22" s="1123"/>
      <c r="J22" s="1137"/>
      <c r="K22" s="281"/>
    </row>
    <row r="23" spans="1:15" ht="21.75" customHeight="1" x14ac:dyDescent="0.6">
      <c r="A23" s="1121">
        <v>1.1399999999999999</v>
      </c>
      <c r="B23" s="1131" t="s">
        <v>437</v>
      </c>
      <c r="C23" s="1124"/>
      <c r="D23" s="1135">
        <v>1.1399999999999999</v>
      </c>
      <c r="E23" s="1128" t="s">
        <v>636</v>
      </c>
      <c r="F23" s="1129"/>
      <c r="G23" s="1129"/>
      <c r="H23" s="1129"/>
      <c r="I23" s="1129"/>
      <c r="J23" s="1125"/>
      <c r="K23" s="281"/>
    </row>
    <row r="24" spans="1:15" ht="21.75" customHeight="1" x14ac:dyDescent="0.6">
      <c r="A24" s="1183">
        <v>1.1499999999999999</v>
      </c>
      <c r="B24" s="1131" t="s">
        <v>302</v>
      </c>
      <c r="C24" s="1117"/>
      <c r="D24" s="1135">
        <v>0.2</v>
      </c>
      <c r="E24" s="1122" t="s">
        <v>563</v>
      </c>
      <c r="F24" s="1173"/>
      <c r="G24" s="1125"/>
      <c r="H24" s="1173"/>
      <c r="I24" s="1123"/>
      <c r="J24" s="1137"/>
      <c r="K24" s="281"/>
    </row>
    <row r="25" spans="1:15" ht="21.75" customHeight="1" x14ac:dyDescent="0.6">
      <c r="A25" s="316"/>
      <c r="B25" s="317"/>
      <c r="C25" s="304" t="s">
        <v>969</v>
      </c>
      <c r="D25" s="318"/>
      <c r="E25" s="274"/>
      <c r="F25" s="319"/>
      <c r="G25" s="320"/>
      <c r="H25" s="319"/>
      <c r="I25" s="320"/>
      <c r="J25" s="320"/>
      <c r="K25" s="304"/>
      <c r="L25" s="321"/>
      <c r="M25" s="321"/>
      <c r="N25" s="321"/>
      <c r="O25" s="321"/>
    </row>
    <row r="26" spans="1:15" ht="21.75" customHeight="1" x14ac:dyDescent="0.6">
      <c r="A26" s="322"/>
      <c r="B26" s="321"/>
      <c r="C26" s="323" t="s">
        <v>970</v>
      </c>
      <c r="D26" s="295"/>
      <c r="E26" s="324"/>
      <c r="F26" s="325"/>
      <c r="G26" s="326"/>
      <c r="H26" s="325"/>
      <c r="I26" s="326"/>
      <c r="J26" s="326"/>
      <c r="K26" s="323"/>
      <c r="L26" s="321"/>
      <c r="M26" s="321"/>
      <c r="N26" s="321"/>
      <c r="O26" s="321"/>
    </row>
    <row r="27" spans="1:15" ht="21.75" customHeight="1" x14ac:dyDescent="0.6">
      <c r="A27" s="327"/>
      <c r="B27" s="290"/>
      <c r="C27" s="295" t="s">
        <v>415</v>
      </c>
      <c r="D27" s="328"/>
      <c r="E27" s="273"/>
      <c r="F27" s="329"/>
      <c r="G27" s="305"/>
      <c r="H27" s="330"/>
      <c r="I27" s="305"/>
      <c r="J27" s="305"/>
      <c r="K27" s="281"/>
    </row>
    <row r="28" spans="1:15" ht="21.75" customHeight="1" x14ac:dyDescent="0.6">
      <c r="A28" s="296"/>
      <c r="B28" s="297" t="s">
        <v>971</v>
      </c>
      <c r="C28" s="303"/>
      <c r="D28" s="275"/>
      <c r="E28" s="276"/>
      <c r="F28" s="277"/>
      <c r="G28" s="283"/>
      <c r="H28" s="282"/>
      <c r="I28" s="287"/>
      <c r="J28" s="281"/>
      <c r="K28" s="281"/>
    </row>
    <row r="29" spans="1:15" ht="21.75" customHeight="1" x14ac:dyDescent="0.6">
      <c r="A29" s="1121">
        <v>2.1</v>
      </c>
      <c r="B29" s="1117" t="s">
        <v>637</v>
      </c>
      <c r="C29" s="1117"/>
      <c r="D29" s="1135">
        <v>1</v>
      </c>
      <c r="E29" s="1128" t="s">
        <v>562</v>
      </c>
      <c r="F29" s="1173"/>
      <c r="G29" s="1123"/>
      <c r="H29" s="1173"/>
      <c r="I29" s="1123"/>
      <c r="J29" s="1137"/>
      <c r="K29" s="281"/>
    </row>
    <row r="30" spans="1:15" ht="21.75" customHeight="1" x14ac:dyDescent="0.6">
      <c r="A30" s="1121">
        <v>2.2000000000000002</v>
      </c>
      <c r="B30" s="1117" t="s">
        <v>962</v>
      </c>
      <c r="C30" s="1117"/>
      <c r="D30" s="1135">
        <v>6.4000000000000001E-2</v>
      </c>
      <c r="E30" s="1128" t="s">
        <v>562</v>
      </c>
      <c r="F30" s="1173"/>
      <c r="G30" s="1123"/>
      <c r="H30" s="1173"/>
      <c r="I30" s="1123"/>
      <c r="J30" s="1137"/>
      <c r="K30" s="281"/>
    </row>
    <row r="31" spans="1:15" ht="21.75" customHeight="1" x14ac:dyDescent="0.6">
      <c r="A31" s="1121">
        <v>2.2999999999999998</v>
      </c>
      <c r="B31" s="1130" t="s">
        <v>301</v>
      </c>
      <c r="C31" s="1117"/>
      <c r="D31" s="1135">
        <v>6.4000000000000001E-2</v>
      </c>
      <c r="E31" s="1128" t="s">
        <v>562</v>
      </c>
      <c r="F31" s="1173"/>
      <c r="G31" s="1123"/>
      <c r="H31" s="1173"/>
      <c r="I31" s="1123"/>
      <c r="J31" s="1137"/>
      <c r="K31" s="281"/>
    </row>
    <row r="32" spans="1:15" ht="21.75" customHeight="1" x14ac:dyDescent="0.6">
      <c r="A32" s="1121">
        <v>2.4</v>
      </c>
      <c r="B32" s="1182" t="s">
        <v>638</v>
      </c>
      <c r="C32" s="1117"/>
      <c r="D32" s="1127">
        <v>0.20399999999999999</v>
      </c>
      <c r="E32" s="1128" t="s">
        <v>562</v>
      </c>
      <c r="F32" s="1173"/>
      <c r="G32" s="1123"/>
      <c r="H32" s="1173"/>
      <c r="I32" s="1123"/>
      <c r="J32" s="1137"/>
      <c r="K32" s="281"/>
    </row>
    <row r="33" spans="1:15" ht="21.75" customHeight="1" x14ac:dyDescent="0.6">
      <c r="A33" s="1121">
        <v>2.5</v>
      </c>
      <c r="B33" s="1131" t="s">
        <v>963</v>
      </c>
      <c r="C33" s="1124"/>
      <c r="D33" s="1135">
        <v>2.9909999999999999E-2</v>
      </c>
      <c r="E33" s="1128" t="s">
        <v>1680</v>
      </c>
      <c r="F33" s="1129"/>
      <c r="G33" s="1129"/>
      <c r="H33" s="1173"/>
      <c r="I33" s="1129"/>
      <c r="J33" s="1125"/>
      <c r="K33" s="281"/>
    </row>
    <row r="34" spans="1:15" ht="21.75" customHeight="1" x14ac:dyDescent="0.6">
      <c r="A34" s="1121">
        <v>2.6</v>
      </c>
      <c r="B34" s="1131" t="s">
        <v>303</v>
      </c>
      <c r="C34" s="1124"/>
      <c r="D34" s="1135">
        <v>0.4</v>
      </c>
      <c r="E34" s="1128" t="s">
        <v>563</v>
      </c>
      <c r="F34" s="1129"/>
      <c r="G34" s="1129"/>
      <c r="H34" s="1129"/>
      <c r="I34" s="1129"/>
      <c r="J34" s="1125"/>
      <c r="K34" s="281"/>
    </row>
    <row r="35" spans="1:15" ht="21.75" customHeight="1" x14ac:dyDescent="0.6">
      <c r="A35" s="1121">
        <v>2.7</v>
      </c>
      <c r="B35" s="1117" t="s">
        <v>967</v>
      </c>
      <c r="C35" s="1117"/>
      <c r="D35" s="1135">
        <v>1.5</v>
      </c>
      <c r="E35" s="1128" t="s">
        <v>636</v>
      </c>
      <c r="F35" s="1173"/>
      <c r="G35" s="1123"/>
      <c r="H35" s="1173"/>
      <c r="I35" s="1123"/>
      <c r="J35" s="1125"/>
      <c r="K35" s="292"/>
    </row>
    <row r="36" spans="1:15" ht="21.75" customHeight="1" x14ac:dyDescent="0.6">
      <c r="A36" s="1121">
        <v>2.8</v>
      </c>
      <c r="B36" s="1117" t="s">
        <v>968</v>
      </c>
      <c r="C36" s="1117"/>
      <c r="D36" s="1135">
        <v>1.5</v>
      </c>
      <c r="E36" s="1128" t="s">
        <v>636</v>
      </c>
      <c r="F36" s="1173"/>
      <c r="G36" s="1123"/>
      <c r="H36" s="1173"/>
      <c r="I36" s="1123"/>
      <c r="J36" s="1125"/>
      <c r="K36" s="292"/>
    </row>
    <row r="37" spans="1:15" ht="21.75" customHeight="1" x14ac:dyDescent="0.6">
      <c r="A37" s="1184">
        <v>2.9</v>
      </c>
      <c r="B37" s="1185" t="s">
        <v>437</v>
      </c>
      <c r="C37" s="1186"/>
      <c r="D37" s="1187">
        <v>0.56999999999999995</v>
      </c>
      <c r="E37" s="1188" t="s">
        <v>636</v>
      </c>
      <c r="F37" s="1189"/>
      <c r="G37" s="1189"/>
      <c r="H37" s="1189"/>
      <c r="I37" s="1189"/>
      <c r="J37" s="1190"/>
      <c r="K37" s="280"/>
    </row>
    <row r="38" spans="1:15" ht="21.75" customHeight="1" x14ac:dyDescent="0.6">
      <c r="A38" s="1132">
        <v>2.1</v>
      </c>
      <c r="B38" s="1131" t="s">
        <v>302</v>
      </c>
      <c r="C38" s="1124"/>
      <c r="D38" s="1118">
        <v>0.1</v>
      </c>
      <c r="E38" s="1128" t="s">
        <v>563</v>
      </c>
      <c r="F38" s="1191"/>
      <c r="G38" s="1137"/>
      <c r="H38" s="1191"/>
      <c r="I38" s="1192"/>
      <c r="J38" s="1137"/>
      <c r="K38" s="281"/>
    </row>
    <row r="39" spans="1:15" ht="21.75" customHeight="1" x14ac:dyDescent="0.6">
      <c r="A39" s="302"/>
      <c r="C39" s="281"/>
      <c r="D39" s="285"/>
      <c r="E39" s="276"/>
      <c r="F39" s="331"/>
      <c r="G39" s="288"/>
      <c r="H39" s="331"/>
      <c r="I39" s="289"/>
      <c r="J39" s="288"/>
      <c r="K39" s="281"/>
    </row>
    <row r="40" spans="1:15" ht="21.75" customHeight="1" x14ac:dyDescent="0.6">
      <c r="A40" s="322"/>
      <c r="B40" s="295"/>
      <c r="C40" s="299" t="s">
        <v>416</v>
      </c>
      <c r="D40" s="295"/>
      <c r="E40" s="324"/>
      <c r="F40" s="279"/>
      <c r="G40" s="279"/>
      <c r="H40" s="299"/>
      <c r="I40" s="279"/>
      <c r="J40" s="279"/>
      <c r="K40" s="323"/>
      <c r="L40" s="321"/>
      <c r="M40" s="321"/>
      <c r="N40" s="321"/>
      <c r="O40" s="321"/>
    </row>
    <row r="41" spans="1:15" ht="21.75" customHeight="1" x14ac:dyDescent="0.6">
      <c r="A41" s="322"/>
      <c r="B41" s="321"/>
      <c r="C41" s="299" t="s">
        <v>972</v>
      </c>
      <c r="D41" s="295">
        <v>3</v>
      </c>
      <c r="E41" s="324" t="s">
        <v>417</v>
      </c>
      <c r="F41" s="325"/>
      <c r="G41" s="279"/>
      <c r="H41" s="326"/>
      <c r="I41" s="279"/>
      <c r="J41" s="279"/>
      <c r="K41" s="323"/>
      <c r="L41" s="321"/>
      <c r="M41" s="321"/>
      <c r="N41" s="321"/>
      <c r="O41" s="321"/>
    </row>
    <row r="42" spans="1:15" ht="21.75" customHeight="1" x14ac:dyDescent="0.6">
      <c r="A42" s="322"/>
      <c r="B42" s="321"/>
      <c r="C42" s="332" t="s">
        <v>973</v>
      </c>
      <c r="D42" s="295"/>
      <c r="E42" s="324"/>
      <c r="F42" s="325"/>
      <c r="G42" s="279"/>
      <c r="H42" s="326"/>
      <c r="I42" s="326"/>
      <c r="J42" s="279"/>
      <c r="K42" s="279">
        <f>ROUNDDOWN(J42,-2)</f>
        <v>0</v>
      </c>
      <c r="L42" s="321"/>
      <c r="M42" s="321"/>
      <c r="N42" s="321"/>
      <c r="O42" s="321"/>
    </row>
    <row r="43" spans="1:15" ht="21.75" customHeight="1" x14ac:dyDescent="0.6">
      <c r="A43" s="316"/>
      <c r="B43" s="317"/>
      <c r="C43" s="304" t="s">
        <v>974</v>
      </c>
      <c r="D43" s="318"/>
      <c r="E43" s="274"/>
      <c r="F43" s="319"/>
      <c r="G43" s="320"/>
      <c r="H43" s="319"/>
      <c r="I43" s="320"/>
      <c r="J43" s="300"/>
      <c r="K43" s="304"/>
      <c r="L43" s="321"/>
      <c r="M43" s="321" t="s">
        <v>1442</v>
      </c>
      <c r="N43" s="321"/>
      <c r="O43" s="321"/>
    </row>
    <row r="44" spans="1:15" ht="21.75" customHeight="1" x14ac:dyDescent="0.6">
      <c r="A44" s="322"/>
      <c r="B44" s="321"/>
      <c r="C44" s="323" t="s">
        <v>975</v>
      </c>
      <c r="D44" s="295"/>
      <c r="E44" s="324"/>
      <c r="F44" s="325"/>
      <c r="G44" s="326"/>
      <c r="H44" s="325"/>
      <c r="I44" s="326"/>
      <c r="J44" s="279"/>
      <c r="K44" s="323"/>
      <c r="L44" s="321"/>
      <c r="M44" s="321"/>
      <c r="N44" s="321"/>
      <c r="O44" s="321"/>
    </row>
    <row r="45" spans="1:15" ht="21.75" customHeight="1" x14ac:dyDescent="0.6">
      <c r="A45" s="296"/>
      <c r="B45" s="297" t="s">
        <v>976</v>
      </c>
      <c r="C45" s="298"/>
      <c r="D45" s="285"/>
      <c r="E45" s="276"/>
      <c r="F45" s="331"/>
      <c r="G45" s="288"/>
      <c r="H45" s="331"/>
      <c r="I45" s="289"/>
      <c r="J45" s="281"/>
      <c r="K45" s="281"/>
      <c r="M45" s="272" t="s">
        <v>1443</v>
      </c>
    </row>
    <row r="46" spans="1:15" ht="21.75" customHeight="1" x14ac:dyDescent="0.6">
      <c r="A46" s="1121">
        <v>3.1</v>
      </c>
      <c r="B46" s="1117" t="s">
        <v>637</v>
      </c>
      <c r="C46" s="1117"/>
      <c r="D46" s="1135">
        <v>0.28000000000000003</v>
      </c>
      <c r="E46" s="1128" t="s">
        <v>562</v>
      </c>
      <c r="F46" s="1173"/>
      <c r="G46" s="1123"/>
      <c r="H46" s="1173"/>
      <c r="I46" s="1123"/>
      <c r="J46" s="1137"/>
      <c r="K46" s="1124"/>
      <c r="M46" s="272" t="s">
        <v>1445</v>
      </c>
    </row>
    <row r="47" spans="1:15" ht="21.75" customHeight="1" x14ac:dyDescent="0.6">
      <c r="A47" s="1121">
        <v>3.2</v>
      </c>
      <c r="B47" s="1182" t="s">
        <v>638</v>
      </c>
      <c r="C47" s="1117"/>
      <c r="D47" s="1135">
        <v>0.2</v>
      </c>
      <c r="E47" s="1128" t="s">
        <v>562</v>
      </c>
      <c r="F47" s="1173"/>
      <c r="G47" s="1123"/>
      <c r="H47" s="1173"/>
      <c r="I47" s="1123"/>
      <c r="J47" s="1137"/>
      <c r="K47" s="1124"/>
      <c r="N47" s="272" t="s">
        <v>1441</v>
      </c>
    </row>
    <row r="48" spans="1:15" ht="21.75" customHeight="1" x14ac:dyDescent="0.6">
      <c r="A48" s="1121">
        <v>3.3</v>
      </c>
      <c r="B48" s="1130" t="s">
        <v>977</v>
      </c>
      <c r="C48" s="1117"/>
      <c r="D48" s="1135">
        <v>180</v>
      </c>
      <c r="E48" s="1128" t="s">
        <v>633</v>
      </c>
      <c r="F48" s="1173"/>
      <c r="G48" s="1123"/>
      <c r="H48" s="1173"/>
      <c r="I48" s="1123"/>
      <c r="J48" s="1137"/>
      <c r="K48" s="1124"/>
      <c r="N48" s="272" t="s">
        <v>1444</v>
      </c>
    </row>
    <row r="49" spans="1:16" ht="21.75" customHeight="1" x14ac:dyDescent="0.6">
      <c r="A49" s="1121">
        <v>3.4</v>
      </c>
      <c r="B49" s="1117" t="s">
        <v>978</v>
      </c>
      <c r="C49" s="1117"/>
      <c r="D49" s="1135">
        <v>9</v>
      </c>
      <c r="E49" s="1128" t="s">
        <v>417</v>
      </c>
      <c r="F49" s="1173"/>
      <c r="G49" s="1123"/>
      <c r="H49" s="1176"/>
      <c r="I49" s="1125"/>
      <c r="J49" s="1137"/>
      <c r="K49" s="1124" t="s">
        <v>1688</v>
      </c>
      <c r="N49" s="272" t="s">
        <v>1447</v>
      </c>
    </row>
    <row r="50" spans="1:16" ht="21.75" customHeight="1" x14ac:dyDescent="0.6">
      <c r="A50" s="1121">
        <v>3.5</v>
      </c>
      <c r="B50" s="1117" t="s">
        <v>979</v>
      </c>
      <c r="C50" s="1124"/>
      <c r="D50" s="1118">
        <v>81</v>
      </c>
      <c r="E50" s="1128" t="s">
        <v>717</v>
      </c>
      <c r="F50" s="1191"/>
      <c r="G50" s="1137"/>
      <c r="H50" s="1191"/>
      <c r="I50" s="1192"/>
      <c r="J50" s="1137"/>
      <c r="K50" s="1124"/>
      <c r="P50" s="272" t="s">
        <v>1446</v>
      </c>
    </row>
    <row r="51" spans="1:16" ht="21.75" customHeight="1" x14ac:dyDescent="0.6">
      <c r="A51" s="333"/>
      <c r="B51" s="273"/>
      <c r="C51" s="299" t="s">
        <v>419</v>
      </c>
      <c r="D51" s="334"/>
      <c r="E51" s="299"/>
      <c r="F51" s="325"/>
      <c r="G51" s="279"/>
      <c r="H51" s="335"/>
      <c r="I51" s="279"/>
      <c r="J51" s="279"/>
      <c r="K51" s="323" t="s">
        <v>980</v>
      </c>
      <c r="L51" s="321"/>
      <c r="M51" s="321"/>
      <c r="N51" s="321"/>
      <c r="O51" s="321"/>
    </row>
    <row r="52" spans="1:16" ht="21.75" customHeight="1" x14ac:dyDescent="0.6">
      <c r="A52" s="333"/>
      <c r="B52" s="295"/>
      <c r="C52" s="299" t="s">
        <v>981</v>
      </c>
      <c r="D52" s="334"/>
      <c r="E52" s="299"/>
      <c r="F52" s="325"/>
      <c r="G52" s="279"/>
      <c r="H52" s="335"/>
      <c r="I52" s="279"/>
      <c r="J52" s="288"/>
      <c r="K52" s="323" t="s">
        <v>982</v>
      </c>
      <c r="L52" s="321"/>
      <c r="M52" s="321"/>
      <c r="N52" s="321"/>
      <c r="O52" s="321"/>
    </row>
    <row r="53" spans="1:16" ht="21.75" customHeight="1" x14ac:dyDescent="0.6">
      <c r="A53" s="333"/>
      <c r="B53" s="321"/>
      <c r="C53" s="299" t="s">
        <v>983</v>
      </c>
      <c r="D53" s="321">
        <f>7+11+4+11</f>
        <v>33</v>
      </c>
      <c r="E53" s="276" t="s">
        <v>633</v>
      </c>
      <c r="F53" s="325"/>
      <c r="G53" s="279"/>
      <c r="H53" s="335"/>
      <c r="I53" s="279"/>
      <c r="J53" s="279"/>
      <c r="K53" s="279">
        <f>ROUNDDOWN(J53,-2)</f>
        <v>0</v>
      </c>
      <c r="L53" s="321"/>
      <c r="M53" s="336">
        <f>G53*0.2</f>
        <v>0</v>
      </c>
      <c r="N53" s="321"/>
      <c r="O53" s="321"/>
    </row>
    <row r="54" spans="1:16" ht="21.75" customHeight="1" x14ac:dyDescent="0.6">
      <c r="A54" s="286"/>
      <c r="C54" s="281"/>
      <c r="D54" s="285"/>
      <c r="E54" s="284"/>
      <c r="F54" s="278"/>
      <c r="G54" s="287"/>
      <c r="H54" s="278"/>
      <c r="I54" s="278"/>
      <c r="J54" s="288"/>
      <c r="K54" s="281"/>
    </row>
    <row r="55" spans="1:16" ht="21.75" customHeight="1" x14ac:dyDescent="0.6">
      <c r="A55" s="286"/>
      <c r="C55" s="281"/>
      <c r="D55" s="285"/>
      <c r="E55" s="284"/>
      <c r="F55" s="278"/>
      <c r="G55" s="287"/>
      <c r="H55" s="278"/>
      <c r="I55" s="278"/>
      <c r="J55" s="288"/>
      <c r="K55" s="281"/>
    </row>
    <row r="56" spans="1:16" ht="21.75" customHeight="1" x14ac:dyDescent="0.6">
      <c r="A56" s="1175"/>
      <c r="B56" s="1117"/>
      <c r="C56" s="1124"/>
      <c r="D56" s="1118"/>
      <c r="E56" s="1122"/>
      <c r="F56" s="1123"/>
      <c r="G56" s="1125"/>
      <c r="H56" s="1123"/>
      <c r="I56" s="1123"/>
      <c r="J56" s="1137"/>
      <c r="K56" s="1124"/>
    </row>
    <row r="57" spans="1:16" ht="21.75" customHeight="1" x14ac:dyDescent="0.6">
      <c r="A57" s="1175"/>
      <c r="B57" s="1117"/>
      <c r="C57" s="1124"/>
      <c r="D57" s="1118"/>
      <c r="E57" s="1122"/>
      <c r="F57" s="1123"/>
      <c r="G57" s="1125"/>
      <c r="H57" s="1123"/>
      <c r="I57" s="1123"/>
      <c r="J57" s="1137"/>
      <c r="K57" s="1124"/>
    </row>
    <row r="58" spans="1:16" ht="21.75" customHeight="1" x14ac:dyDescent="0.6">
      <c r="A58" s="1194"/>
      <c r="B58" s="1141"/>
      <c r="C58" s="1142" t="s">
        <v>373</v>
      </c>
      <c r="D58" s="1143"/>
      <c r="E58" s="1144"/>
      <c r="F58" s="1145"/>
      <c r="G58" s="1146"/>
      <c r="H58" s="1147"/>
      <c r="I58" s="1146"/>
      <c r="J58" s="1148"/>
      <c r="K58" s="1149"/>
      <c r="M58" s="306"/>
    </row>
    <row r="59" spans="1:16" ht="21.75" customHeight="1" x14ac:dyDescent="0.6">
      <c r="A59" s="1119"/>
      <c r="B59" s="1150"/>
      <c r="C59" s="1133" t="s">
        <v>405</v>
      </c>
      <c r="D59" s="1151"/>
      <c r="E59" s="1120"/>
      <c r="F59" s="1152"/>
      <c r="G59" s="1134"/>
      <c r="H59" s="1153"/>
      <c r="I59" s="1134"/>
      <c r="J59" s="1134"/>
      <c r="K59" s="1154"/>
    </row>
    <row r="60" spans="1:16" ht="21.75" customHeight="1" x14ac:dyDescent="0.6"/>
    <row r="61" spans="1:16" ht="21.75" customHeight="1" x14ac:dyDescent="0.6">
      <c r="H61" s="272" t="s">
        <v>809</v>
      </c>
    </row>
    <row r="62" spans="1:16" ht="21.75" customHeight="1" x14ac:dyDescent="0.6"/>
    <row r="63" spans="1:16" ht="21.75" customHeight="1" x14ac:dyDescent="0.6"/>
    <row r="64" spans="1:16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  <row r="98" ht="21.75" customHeight="1" x14ac:dyDescent="0.6"/>
    <row r="99" ht="21.75" customHeight="1" x14ac:dyDescent="0.6"/>
    <row r="100" ht="21.75" customHeight="1" x14ac:dyDescent="0.6"/>
    <row r="101" ht="21.75" customHeight="1" x14ac:dyDescent="0.6"/>
    <row r="102" ht="21.75" customHeight="1" x14ac:dyDescent="0.6"/>
    <row r="103" ht="21.75" customHeight="1" x14ac:dyDescent="0.6"/>
    <row r="104" ht="21.75" customHeight="1" x14ac:dyDescent="0.6"/>
    <row r="105" ht="21.75" customHeight="1" x14ac:dyDescent="0.6"/>
    <row r="106" ht="21.75" customHeight="1" x14ac:dyDescent="0.6"/>
  </sheetData>
  <printOptions horizontalCentered="1"/>
  <pageMargins left="0.5" right="0.3" top="0.75" bottom="0.5" header="0.5" footer="0.25"/>
  <pageSetup paperSize="9" orientation="portrait" r:id="rId1"/>
  <headerFooter alignWithMargins="0">
    <oddHeader xml:space="preserve">&amp;Rแบบ ปร.4 แผ่นที่ &amp;P/2 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view="pageBreakPreview" topLeftCell="A22" zoomScale="130" zoomScaleNormal="130" zoomScaleSheetLayoutView="130" workbookViewId="0">
      <selection activeCell="N32" sqref="N32"/>
    </sheetView>
  </sheetViews>
  <sheetFormatPr defaultColWidth="9.125" defaultRowHeight="21" x14ac:dyDescent="0.6"/>
  <cols>
    <col min="1" max="1" width="5.625" style="272" customWidth="1"/>
    <col min="2" max="2" width="14.875" style="272" customWidth="1"/>
    <col min="3" max="3" width="19.75" style="272" customWidth="1"/>
    <col min="4" max="4" width="5.75" style="272" customWidth="1"/>
    <col min="5" max="5" width="4.125" style="272" customWidth="1"/>
    <col min="6" max="6" width="11.125" style="272" customWidth="1"/>
    <col min="7" max="7" width="10.75" style="272" customWidth="1"/>
    <col min="8" max="8" width="9.625" style="272" customWidth="1"/>
    <col min="9" max="9" width="10.125" style="272" customWidth="1"/>
    <col min="10" max="10" width="10.75" style="272" customWidth="1"/>
    <col min="11" max="11" width="8.75" style="272" customWidth="1"/>
    <col min="12" max="12" width="1.125" style="272" customWidth="1"/>
    <col min="13" max="13" width="9.625" style="272" bestFit="1" customWidth="1"/>
    <col min="14" max="17" width="9.25" style="272" bestFit="1" customWidth="1"/>
    <col min="18" max="18" width="9.125" style="272"/>
    <col min="19" max="19" width="9.25" style="272" bestFit="1" customWidth="1"/>
    <col min="20" max="16384" width="9.125" style="272"/>
  </cols>
  <sheetData>
    <row r="1" spans="1:13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3" s="652" customFormat="1" ht="23.25" customHeight="1" x14ac:dyDescent="0.35">
      <c r="A2" s="644" t="s">
        <v>822</v>
      </c>
      <c r="B2" s="645"/>
      <c r="C2" s="646" t="s">
        <v>819</v>
      </c>
      <c r="D2" s="647"/>
      <c r="E2" s="645"/>
      <c r="F2" s="648"/>
      <c r="G2" s="649"/>
      <c r="H2" s="649"/>
      <c r="I2" s="653"/>
      <c r="J2" s="654"/>
      <c r="K2" s="651"/>
    </row>
    <row r="3" spans="1:13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58"/>
      <c r="K3" s="689"/>
    </row>
    <row r="4" spans="1:13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3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3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3" s="652" customFormat="1" ht="23.2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3" s="652" customFormat="1" ht="23.2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3" s="652" customFormat="1" ht="23.25" customHeight="1" x14ac:dyDescent="0.35">
      <c r="A9" s="1238">
        <v>1</v>
      </c>
      <c r="B9" s="1279" t="s">
        <v>1689</v>
      </c>
      <c r="C9" s="1280"/>
      <c r="D9" s="1281">
        <v>1</v>
      </c>
      <c r="E9" s="1282" t="s">
        <v>179</v>
      </c>
      <c r="F9" s="1283">
        <v>1722.5</v>
      </c>
      <c r="G9" s="1284">
        <f t="shared" ref="G9:G20" si="0">IF(F9="-","-",D9*F9)</f>
        <v>1722.5</v>
      </c>
      <c r="H9" s="1284">
        <v>179</v>
      </c>
      <c r="I9" s="1284">
        <f>IF(H9="-","-",H9*D9)</f>
        <v>179</v>
      </c>
      <c r="J9" s="1284">
        <f t="shared" ref="J9:J24" si="1">SUM(G9,I9)</f>
        <v>1901.5</v>
      </c>
      <c r="K9" s="1285"/>
      <c r="M9" s="652">
        <v>0</v>
      </c>
    </row>
    <row r="10" spans="1:13" s="652" customFormat="1" ht="23.25" customHeight="1" x14ac:dyDescent="0.35">
      <c r="A10" s="1286">
        <v>2</v>
      </c>
      <c r="B10" s="1287" t="s">
        <v>1690</v>
      </c>
      <c r="C10" s="1288"/>
      <c r="D10" s="1289">
        <v>0</v>
      </c>
      <c r="E10" s="1290" t="s">
        <v>179</v>
      </c>
      <c r="F10" s="1291">
        <v>346.39</v>
      </c>
      <c r="G10" s="1284">
        <f>IF(F10="-","-",D10*F10)</f>
        <v>0</v>
      </c>
      <c r="H10" s="1284">
        <f>60*6</f>
        <v>360</v>
      </c>
      <c r="I10" s="1284">
        <f>IF(H10="-","-",H10*D10)</f>
        <v>0</v>
      </c>
      <c r="J10" s="1284">
        <f>SUM(G10,I10)</f>
        <v>0</v>
      </c>
      <c r="K10" s="1288"/>
    </row>
    <row r="11" spans="1:13" s="652" customFormat="1" ht="23.25" customHeight="1" x14ac:dyDescent="0.35">
      <c r="A11" s="1286">
        <v>3</v>
      </c>
      <c r="B11" s="1292" t="s">
        <v>1691</v>
      </c>
      <c r="C11" s="1288"/>
      <c r="D11" s="1289">
        <v>0</v>
      </c>
      <c r="E11" s="1290" t="s">
        <v>717</v>
      </c>
      <c r="F11" s="1291">
        <v>216.92</v>
      </c>
      <c r="G11" s="1284">
        <f t="shared" si="0"/>
        <v>0</v>
      </c>
      <c r="H11" s="1284"/>
      <c r="I11" s="1284"/>
      <c r="J11" s="1284">
        <f t="shared" si="1"/>
        <v>0</v>
      </c>
      <c r="K11" s="1288"/>
    </row>
    <row r="12" spans="1:13" s="652" customFormat="1" ht="23.25" customHeight="1" x14ac:dyDescent="0.35">
      <c r="A12" s="1286">
        <v>4</v>
      </c>
      <c r="B12" s="1292" t="s">
        <v>1692</v>
      </c>
      <c r="C12" s="1288"/>
      <c r="D12" s="1289">
        <v>0</v>
      </c>
      <c r="E12" s="1290" t="s">
        <v>717</v>
      </c>
      <c r="F12" s="1291">
        <v>15.37</v>
      </c>
      <c r="G12" s="1284">
        <f t="shared" si="0"/>
        <v>0</v>
      </c>
      <c r="H12" s="1284"/>
      <c r="I12" s="1284"/>
      <c r="J12" s="1284">
        <f t="shared" si="1"/>
        <v>0</v>
      </c>
      <c r="K12" s="1288"/>
    </row>
    <row r="13" spans="1:13" s="652" customFormat="1" ht="23.25" customHeight="1" x14ac:dyDescent="0.35">
      <c r="A13" s="1286">
        <v>5</v>
      </c>
      <c r="B13" s="1292" t="s">
        <v>1773</v>
      </c>
      <c r="C13" s="1288"/>
      <c r="D13" s="1289">
        <v>1</v>
      </c>
      <c r="E13" s="1290" t="s">
        <v>717</v>
      </c>
      <c r="F13" s="1291">
        <v>145</v>
      </c>
      <c r="G13" s="1284">
        <f t="shared" ref="G13" si="2">IF(F13="-","-",D13*F13)</f>
        <v>145</v>
      </c>
      <c r="H13" s="1284"/>
      <c r="I13" s="1284"/>
      <c r="J13" s="1284">
        <f t="shared" ref="J13" si="3">SUM(G13,I13)</f>
        <v>145</v>
      </c>
      <c r="K13" s="1288"/>
      <c r="M13" s="652">
        <v>0</v>
      </c>
    </row>
    <row r="14" spans="1:13" s="652" customFormat="1" ht="23.25" customHeight="1" x14ac:dyDescent="0.35">
      <c r="A14" s="1286">
        <v>6</v>
      </c>
      <c r="B14" s="1287" t="s">
        <v>1693</v>
      </c>
      <c r="C14" s="1288"/>
      <c r="D14" s="1289">
        <v>0</v>
      </c>
      <c r="E14" s="1290" t="s">
        <v>717</v>
      </c>
      <c r="F14" s="1291">
        <v>1495</v>
      </c>
      <c r="G14" s="1284">
        <f t="shared" si="0"/>
        <v>0</v>
      </c>
      <c r="H14" s="1284"/>
      <c r="I14" s="1284"/>
      <c r="J14" s="1284">
        <f t="shared" si="1"/>
        <v>0</v>
      </c>
      <c r="K14" s="1288"/>
    </row>
    <row r="15" spans="1:13" s="652" customFormat="1" ht="23.25" customHeight="1" x14ac:dyDescent="0.35">
      <c r="A15" s="1286">
        <v>7</v>
      </c>
      <c r="B15" s="1287" t="s">
        <v>1774</v>
      </c>
      <c r="C15" s="1288"/>
      <c r="D15" s="1289">
        <v>1</v>
      </c>
      <c r="E15" s="1290" t="s">
        <v>717</v>
      </c>
      <c r="F15" s="1291">
        <v>220</v>
      </c>
      <c r="G15" s="1284">
        <f t="shared" ref="G15" si="4">IF(F15="-","-",D15*F15)</f>
        <v>220</v>
      </c>
      <c r="H15" s="1284"/>
      <c r="I15" s="1284"/>
      <c r="J15" s="1284">
        <f t="shared" ref="J15" si="5">SUM(G15,I15)</f>
        <v>220</v>
      </c>
      <c r="K15" s="1288"/>
      <c r="M15" s="652">
        <v>0</v>
      </c>
    </row>
    <row r="16" spans="1:13" s="652" customFormat="1" ht="23.25" customHeight="1" x14ac:dyDescent="0.35">
      <c r="A16" s="1286">
        <v>8</v>
      </c>
      <c r="B16" s="1292" t="s">
        <v>1694</v>
      </c>
      <c r="C16" s="1288"/>
      <c r="D16" s="1289">
        <v>0</v>
      </c>
      <c r="E16" s="1290" t="s">
        <v>717</v>
      </c>
      <c r="F16" s="1291">
        <v>303.05</v>
      </c>
      <c r="G16" s="1284">
        <f t="shared" si="0"/>
        <v>0</v>
      </c>
      <c r="H16" s="1284"/>
      <c r="I16" s="1284">
        <v>150</v>
      </c>
      <c r="J16" s="1284">
        <f t="shared" si="1"/>
        <v>150</v>
      </c>
      <c r="K16" s="1288"/>
    </row>
    <row r="17" spans="1:19" s="652" customFormat="1" ht="23.25" customHeight="1" x14ac:dyDescent="0.35">
      <c r="A17" s="1286">
        <v>9</v>
      </c>
      <c r="B17" s="1287" t="s">
        <v>684</v>
      </c>
      <c r="C17" s="1288"/>
      <c r="D17" s="1289">
        <v>0</v>
      </c>
      <c r="E17" s="1290" t="s">
        <v>717</v>
      </c>
      <c r="F17" s="1291">
        <v>352</v>
      </c>
      <c r="G17" s="1284">
        <f t="shared" si="0"/>
        <v>0</v>
      </c>
      <c r="H17" s="1284"/>
      <c r="I17" s="1284"/>
      <c r="J17" s="1284">
        <f t="shared" si="1"/>
        <v>0</v>
      </c>
      <c r="K17" s="1288"/>
    </row>
    <row r="18" spans="1:19" s="652" customFormat="1" ht="23.25" customHeight="1" x14ac:dyDescent="0.35">
      <c r="A18" s="1286">
        <v>10</v>
      </c>
      <c r="B18" s="1293" t="s">
        <v>1695</v>
      </c>
      <c r="C18" s="1288"/>
      <c r="D18" s="1289">
        <v>0</v>
      </c>
      <c r="E18" s="1290" t="s">
        <v>553</v>
      </c>
      <c r="F18" s="1291">
        <v>6200</v>
      </c>
      <c r="G18" s="1284">
        <f t="shared" si="0"/>
        <v>0</v>
      </c>
      <c r="H18" s="1284"/>
      <c r="I18" s="1284"/>
      <c r="J18" s="1284">
        <f t="shared" si="1"/>
        <v>0</v>
      </c>
      <c r="K18" s="1288"/>
    </row>
    <row r="19" spans="1:19" s="652" customFormat="1" ht="23.25" customHeight="1" x14ac:dyDescent="0.35">
      <c r="A19" s="1286">
        <v>11</v>
      </c>
      <c r="B19" s="1287" t="s">
        <v>723</v>
      </c>
      <c r="C19" s="1288"/>
      <c r="D19" s="1289">
        <v>0</v>
      </c>
      <c r="E19" s="1290" t="s">
        <v>553</v>
      </c>
      <c r="F19" s="1291">
        <v>14000</v>
      </c>
      <c r="G19" s="1284">
        <f t="shared" si="0"/>
        <v>0</v>
      </c>
      <c r="H19" s="1284"/>
      <c r="I19" s="1284"/>
      <c r="J19" s="1284">
        <f t="shared" si="1"/>
        <v>0</v>
      </c>
      <c r="K19" s="1285"/>
    </row>
    <row r="20" spans="1:19" s="652" customFormat="1" ht="23.25" customHeight="1" x14ac:dyDescent="0.35">
      <c r="A20" s="1286">
        <v>12</v>
      </c>
      <c r="B20" s="1287" t="s">
        <v>1696</v>
      </c>
      <c r="C20" s="1288"/>
      <c r="D20" s="1289">
        <v>0</v>
      </c>
      <c r="E20" s="1290" t="s">
        <v>717</v>
      </c>
      <c r="F20" s="1291">
        <v>177</v>
      </c>
      <c r="G20" s="1284">
        <f t="shared" si="0"/>
        <v>0</v>
      </c>
      <c r="H20" s="1284"/>
      <c r="I20" s="1284"/>
      <c r="J20" s="1284">
        <f t="shared" si="1"/>
        <v>0</v>
      </c>
      <c r="K20" s="1288"/>
    </row>
    <row r="21" spans="1:19" s="652" customFormat="1" ht="23.25" customHeight="1" x14ac:dyDescent="0.35">
      <c r="A21" s="1286">
        <v>13</v>
      </c>
      <c r="B21" s="1292" t="s">
        <v>726</v>
      </c>
      <c r="C21" s="1288"/>
      <c r="D21" s="1289">
        <v>0</v>
      </c>
      <c r="E21" s="1290" t="s">
        <v>123</v>
      </c>
      <c r="F21" s="1291">
        <v>20</v>
      </c>
      <c r="G21" s="1284">
        <f>IF(F21="-","-",D21*F21)</f>
        <v>0</v>
      </c>
      <c r="H21" s="1291" t="s">
        <v>741</v>
      </c>
      <c r="I21" s="1291" t="s">
        <v>741</v>
      </c>
      <c r="J21" s="1284">
        <f t="shared" si="1"/>
        <v>0</v>
      </c>
      <c r="K21" s="1288"/>
    </row>
    <row r="22" spans="1:19" s="652" customFormat="1" ht="23.25" customHeight="1" x14ac:dyDescent="0.35">
      <c r="A22" s="1286">
        <v>14</v>
      </c>
      <c r="B22" s="1287" t="s">
        <v>247</v>
      </c>
      <c r="C22" s="1288"/>
      <c r="D22" s="1289">
        <v>0</v>
      </c>
      <c r="E22" s="1290" t="s">
        <v>717</v>
      </c>
      <c r="F22" s="1291">
        <v>30</v>
      </c>
      <c r="G22" s="1284">
        <f>IF(F22="-","-",D22*F22)</f>
        <v>0</v>
      </c>
      <c r="H22" s="1291" t="s">
        <v>741</v>
      </c>
      <c r="I22" s="1291" t="s">
        <v>741</v>
      </c>
      <c r="J22" s="1284">
        <f t="shared" si="1"/>
        <v>0</v>
      </c>
      <c r="K22" s="1288"/>
      <c r="N22" s="1294">
        <f>SUM(G10:G22)</f>
        <v>365</v>
      </c>
      <c r="O22" s="1295">
        <f>N22*0.2</f>
        <v>73</v>
      </c>
    </row>
    <row r="23" spans="1:19" s="652" customFormat="1" ht="21.75" customHeight="1" x14ac:dyDescent="0.35">
      <c r="A23" s="1286">
        <v>15</v>
      </c>
      <c r="B23" s="652" t="s">
        <v>685</v>
      </c>
      <c r="C23" s="1288"/>
      <c r="D23" s="652">
        <v>3</v>
      </c>
      <c r="E23" s="1232" t="s">
        <v>103</v>
      </c>
      <c r="F23" s="1296" t="s">
        <v>418</v>
      </c>
      <c r="G23" s="1296" t="str">
        <f>IF(F23="-","-",D23*F23)</f>
        <v>-</v>
      </c>
      <c r="H23" s="1297">
        <v>40</v>
      </c>
      <c r="I23" s="1284">
        <f>IF(H23="-","-",H23*D23)</f>
        <v>120</v>
      </c>
      <c r="J23" s="1284">
        <f t="shared" si="1"/>
        <v>120</v>
      </c>
      <c r="K23" s="1288"/>
      <c r="M23" s="652">
        <v>0</v>
      </c>
    </row>
    <row r="24" spans="1:19" s="652" customFormat="1" ht="23.25" customHeight="1" x14ac:dyDescent="0.35">
      <c r="A24" s="1286">
        <v>16</v>
      </c>
      <c r="B24" s="1292" t="s">
        <v>556</v>
      </c>
      <c r="C24" s="1288"/>
      <c r="D24" s="1289">
        <v>2</v>
      </c>
      <c r="E24" s="1290" t="s">
        <v>557</v>
      </c>
      <c r="F24" s="1291">
        <v>30</v>
      </c>
      <c r="G24" s="1284">
        <f>IF(F24="-","-",D24*F24)</f>
        <v>60</v>
      </c>
      <c r="H24" s="1291"/>
      <c r="I24" s="1291"/>
      <c r="J24" s="1284">
        <f t="shared" si="1"/>
        <v>60</v>
      </c>
      <c r="K24" s="1285"/>
    </row>
    <row r="25" spans="1:19" s="652" customFormat="1" ht="23.25" customHeight="1" x14ac:dyDescent="0.35">
      <c r="A25" s="1298">
        <v>17</v>
      </c>
      <c r="B25" s="652" t="s">
        <v>1697</v>
      </c>
      <c r="D25" s="1321">
        <v>0</v>
      </c>
      <c r="E25" s="1290" t="s">
        <v>562</v>
      </c>
      <c r="F25" s="1296">
        <f>2460+476*4+38.73</f>
        <v>4402.7299999999996</v>
      </c>
      <c r="G25" s="1297">
        <f>D25*F25</f>
        <v>0</v>
      </c>
      <c r="H25" s="1297">
        <f>133*4+500</f>
        <v>1032</v>
      </c>
      <c r="I25" s="1297">
        <f>D25*H25</f>
        <v>0</v>
      </c>
      <c r="J25" s="1284">
        <f>SUM(G25,I25)</f>
        <v>0</v>
      </c>
      <c r="K25" s="1288"/>
      <c r="O25" s="1299">
        <f>SUM(G31)*0.2</f>
        <v>743.04600000000016</v>
      </c>
    </row>
    <row r="26" spans="1:19" s="652" customFormat="1" ht="21" customHeight="1" x14ac:dyDescent="0.35">
      <c r="A26" s="1298">
        <v>18</v>
      </c>
      <c r="B26" s="652" t="s">
        <v>1783</v>
      </c>
      <c r="D26" s="1289">
        <v>1</v>
      </c>
      <c r="E26" s="1290" t="s">
        <v>179</v>
      </c>
      <c r="F26" s="1296">
        <v>291.58999999999997</v>
      </c>
      <c r="G26" s="1291">
        <f t="shared" ref="G26" si="6">IF(F26="-","-",D26*F26)</f>
        <v>291.58999999999997</v>
      </c>
      <c r="H26" s="1297">
        <v>41</v>
      </c>
      <c r="I26" s="1291">
        <f>IF(H26="-","-",H26*D26)</f>
        <v>41</v>
      </c>
      <c r="J26" s="1284">
        <f t="shared" ref="J26" si="7">SUM(G26,I26)</f>
        <v>332.59</v>
      </c>
      <c r="K26" s="1297"/>
      <c r="L26" s="1300">
        <f>D26*2.98</f>
        <v>2.98</v>
      </c>
      <c r="M26" s="652" t="s">
        <v>1812</v>
      </c>
    </row>
    <row r="27" spans="1:19" s="652" customFormat="1" ht="21" customHeight="1" x14ac:dyDescent="0.35">
      <c r="A27" s="1298">
        <v>19</v>
      </c>
      <c r="B27" s="652" t="s">
        <v>1792</v>
      </c>
      <c r="D27" s="1289">
        <v>1</v>
      </c>
      <c r="E27" s="1290" t="s">
        <v>179</v>
      </c>
      <c r="F27" s="1296">
        <v>672.9</v>
      </c>
      <c r="G27" s="1291">
        <f t="shared" ref="G27" si="8">IF(F27="-","-",D27*F27)</f>
        <v>672.9</v>
      </c>
      <c r="H27" s="1297">
        <v>77</v>
      </c>
      <c r="I27" s="1291">
        <f>IF(H27="-","-",H27*D27)</f>
        <v>77</v>
      </c>
      <c r="J27" s="1284">
        <f t="shared" ref="J27" si="9">SUM(G27,I27)</f>
        <v>749.9</v>
      </c>
      <c r="K27" s="1297"/>
      <c r="L27" s="1300">
        <f>D27*2.98</f>
        <v>2.98</v>
      </c>
      <c r="M27" s="652" t="s">
        <v>1812</v>
      </c>
    </row>
    <row r="28" spans="1:19" s="652" customFormat="1" ht="21" customHeight="1" x14ac:dyDescent="0.35">
      <c r="A28" s="1298">
        <v>20</v>
      </c>
      <c r="B28" s="1322" t="s">
        <v>1794</v>
      </c>
      <c r="D28" s="1289">
        <v>1</v>
      </c>
      <c r="E28" s="1290" t="s">
        <v>179</v>
      </c>
      <c r="F28" s="1296">
        <v>482.24</v>
      </c>
      <c r="G28" s="1291">
        <f t="shared" ref="G28" si="10">IF(F28="-","-",D28*F28)</f>
        <v>482.24</v>
      </c>
      <c r="H28" s="1297">
        <v>62</v>
      </c>
      <c r="I28" s="1291">
        <f>IF(H28="-","-",H28*D28)</f>
        <v>62</v>
      </c>
      <c r="J28" s="1284">
        <f>SUM(G28,I28)</f>
        <v>544.24</v>
      </c>
      <c r="K28" s="1297"/>
      <c r="L28" s="1300">
        <f>D28*2.98</f>
        <v>2.98</v>
      </c>
      <c r="M28" s="652" t="s">
        <v>1812</v>
      </c>
    </row>
    <row r="29" spans="1:19" s="652" customFormat="1" ht="23.25" customHeight="1" x14ac:dyDescent="0.35">
      <c r="A29" s="1301">
        <v>21</v>
      </c>
      <c r="B29" s="652" t="s">
        <v>1778</v>
      </c>
      <c r="D29" s="1287">
        <v>1</v>
      </c>
      <c r="E29" s="1302" t="s">
        <v>719</v>
      </c>
      <c r="F29" s="1296">
        <v>56</v>
      </c>
      <c r="G29" s="1297">
        <f t="shared" ref="G29" si="11">D29*F29</f>
        <v>56</v>
      </c>
      <c r="H29" s="1297"/>
      <c r="I29" s="1297">
        <f t="shared" ref="I29" si="12">D29*H29</f>
        <v>0</v>
      </c>
      <c r="J29" s="1284">
        <f>SUM(G29,I29)</f>
        <v>56</v>
      </c>
      <c r="K29" s="1303"/>
      <c r="L29" s="1300">
        <f>D29*102.6</f>
        <v>102.6</v>
      </c>
      <c r="M29" s="652">
        <v>0</v>
      </c>
      <c r="N29" s="652">
        <f>3559+534.47</f>
        <v>4093.4700000000003</v>
      </c>
      <c r="O29" s="652">
        <f>21.75*6</f>
        <v>130.5</v>
      </c>
      <c r="P29" s="652">
        <f t="shared" ref="P29:Q29" si="13">15000/O29</f>
        <v>114.94252873563218</v>
      </c>
      <c r="Q29" s="652">
        <f t="shared" si="13"/>
        <v>130.5</v>
      </c>
      <c r="S29" s="652">
        <f t="shared" ref="S29" si="14">N29+Q29</f>
        <v>4223.97</v>
      </c>
    </row>
    <row r="30" spans="1:19" s="652" customFormat="1" ht="23.25" customHeight="1" x14ac:dyDescent="0.35">
      <c r="A30" s="1301">
        <v>21</v>
      </c>
      <c r="B30" s="652" t="s">
        <v>1793</v>
      </c>
      <c r="D30" s="1287">
        <v>1</v>
      </c>
      <c r="E30" s="1302" t="s">
        <v>719</v>
      </c>
      <c r="F30" s="1296">
        <v>65</v>
      </c>
      <c r="G30" s="1297">
        <f t="shared" ref="G30" si="15">D30*F30</f>
        <v>65</v>
      </c>
      <c r="H30" s="1297"/>
      <c r="I30" s="1297">
        <f t="shared" ref="I30" si="16">D30*H30</f>
        <v>0</v>
      </c>
      <c r="J30" s="1284">
        <f t="shared" ref="J30" si="17">SUM(G30,I30)</f>
        <v>65</v>
      </c>
      <c r="K30" s="1303"/>
      <c r="L30" s="1300">
        <f>D30*102.6</f>
        <v>102.6</v>
      </c>
      <c r="M30" s="652">
        <v>0</v>
      </c>
      <c r="N30" s="652">
        <f>3559+534.47</f>
        <v>4093.4700000000003</v>
      </c>
      <c r="O30" s="652">
        <f>21.75*6</f>
        <v>130.5</v>
      </c>
      <c r="P30" s="652">
        <f t="shared" ref="P30" si="18">15000/O30</f>
        <v>114.94252873563218</v>
      </c>
      <c r="Q30" s="652">
        <f t="shared" ref="Q30" si="19">15000/P30</f>
        <v>130.5</v>
      </c>
      <c r="S30" s="652">
        <f t="shared" ref="S30" si="20">N30+Q30</f>
        <v>4223.97</v>
      </c>
    </row>
    <row r="31" spans="1:19" s="652" customFormat="1" ht="23.25" customHeight="1" x14ac:dyDescent="0.35">
      <c r="A31" s="1304"/>
      <c r="B31" s="1305"/>
      <c r="C31" s="1306" t="s">
        <v>373</v>
      </c>
      <c r="D31" s="1307"/>
      <c r="E31" s="1308"/>
      <c r="F31" s="1309"/>
      <c r="G31" s="1310">
        <f>SUM(G9:G30)</f>
        <v>3715.2300000000005</v>
      </c>
      <c r="H31" s="1311"/>
      <c r="I31" s="1310">
        <f>SUM(I9:I29)</f>
        <v>629</v>
      </c>
      <c r="J31" s="1312">
        <f>SUM(J9:J30)</f>
        <v>4344.2300000000005</v>
      </c>
      <c r="K31" s="1313"/>
      <c r="M31" s="1294">
        <f>G31+I31</f>
        <v>4344.2300000000005</v>
      </c>
    </row>
    <row r="32" spans="1:19" s="652" customFormat="1" ht="23.25" customHeight="1" x14ac:dyDescent="0.35">
      <c r="A32" s="680"/>
      <c r="B32" s="1314"/>
      <c r="C32" s="1315" t="s">
        <v>405</v>
      </c>
      <c r="D32" s="1316"/>
      <c r="E32" s="682"/>
      <c r="F32" s="1317"/>
      <c r="G32" s="1318"/>
      <c r="H32" s="1319"/>
      <c r="I32" s="1318"/>
      <c r="J32" s="1318">
        <f>J31</f>
        <v>4344.2300000000005</v>
      </c>
      <c r="K32" s="1320"/>
    </row>
    <row r="33" s="652" customFormat="1" ht="21.75" customHeight="1" x14ac:dyDescent="0.35"/>
    <row r="34" s="652" customFormat="1" ht="21.75" customHeight="1" x14ac:dyDescent="0.35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7" orientation="portrait" r:id="rId1"/>
  <headerFooter alignWithMargins="0">
    <oddHeader xml:space="preserve">&amp;Rแบบ ปร.4 แผ่นที่ &amp;P/1 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view="pageBreakPreview" topLeftCell="A13" zoomScaleNormal="130" zoomScaleSheetLayoutView="100" workbookViewId="0">
      <selection activeCell="N28" sqref="N28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7.625" style="272" customWidth="1"/>
    <col min="4" max="4" width="4.75" style="272" customWidth="1"/>
    <col min="5" max="5" width="5.75" style="272" customWidth="1"/>
    <col min="6" max="6" width="9.5" style="272" customWidth="1"/>
    <col min="7" max="7" width="12.375" style="272" customWidth="1"/>
    <col min="8" max="8" width="8.75" style="272" customWidth="1"/>
    <col min="9" max="9" width="10.25" style="272" customWidth="1"/>
    <col min="10" max="10" width="12.75" style="272" customWidth="1"/>
    <col min="11" max="11" width="8.75" style="272" customWidth="1"/>
    <col min="12" max="12" width="1.75" style="272" customWidth="1"/>
    <col min="13" max="14" width="10.875" style="272" bestFit="1" customWidth="1"/>
    <col min="15" max="15" width="9.25" style="272" bestFit="1" customWidth="1"/>
    <col min="16" max="16384" width="9.125" style="272"/>
  </cols>
  <sheetData>
    <row r="1" spans="1:13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3" s="652" customFormat="1" ht="23.25" customHeight="1" x14ac:dyDescent="0.35">
      <c r="A2" s="644" t="s">
        <v>822</v>
      </c>
      <c r="B2" s="645"/>
      <c r="C2" s="646" t="s">
        <v>820</v>
      </c>
      <c r="D2" s="647"/>
      <c r="E2" s="645"/>
      <c r="F2" s="648"/>
      <c r="G2" s="649"/>
      <c r="H2" s="649"/>
      <c r="I2" s="653"/>
      <c r="J2" s="654"/>
      <c r="K2" s="651"/>
    </row>
    <row r="3" spans="1:13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58"/>
      <c r="K3" s="661"/>
    </row>
    <row r="4" spans="1:13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3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3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3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3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3" s="652" customFormat="1" ht="21.75" customHeight="1" x14ac:dyDescent="0.35">
      <c r="A9" s="1301">
        <v>1</v>
      </c>
      <c r="B9" s="652" t="s">
        <v>1700</v>
      </c>
      <c r="D9" s="1287">
        <v>1</v>
      </c>
      <c r="E9" s="1290" t="s">
        <v>179</v>
      </c>
      <c r="F9" s="1296">
        <v>706.54</v>
      </c>
      <c r="G9" s="1297">
        <f t="shared" ref="G9:G24" si="0">IF(F9="-","-",D9*F9)</f>
        <v>706.54</v>
      </c>
      <c r="H9" s="1297">
        <v>113</v>
      </c>
      <c r="I9" s="1297">
        <f>D9*H9</f>
        <v>113</v>
      </c>
      <c r="J9" s="1284">
        <f>SUM(G9,I9)</f>
        <v>819.54</v>
      </c>
      <c r="K9" s="1285"/>
      <c r="M9" s="652" t="s">
        <v>1813</v>
      </c>
    </row>
    <row r="10" spans="1:13" s="652" customFormat="1" ht="21.75" customHeight="1" x14ac:dyDescent="0.35">
      <c r="A10" s="1301">
        <v>2</v>
      </c>
      <c r="B10" s="652" t="s">
        <v>1700</v>
      </c>
      <c r="D10" s="1287"/>
      <c r="E10" s="1290" t="s">
        <v>179</v>
      </c>
      <c r="F10" s="1296">
        <v>706.54</v>
      </c>
      <c r="G10" s="1297">
        <f t="shared" si="0"/>
        <v>0</v>
      </c>
      <c r="H10" s="1297"/>
      <c r="I10" s="1297"/>
      <c r="J10" s="1284">
        <f t="shared" ref="J10:J24" si="1">SUM(G10,I10)</f>
        <v>0</v>
      </c>
      <c r="K10" s="1285"/>
    </row>
    <row r="11" spans="1:13" s="652" customFormat="1" ht="21.75" customHeight="1" x14ac:dyDescent="0.35">
      <c r="A11" s="1301">
        <v>3</v>
      </c>
      <c r="B11" s="652" t="s">
        <v>1742</v>
      </c>
      <c r="D11" s="1287">
        <v>1</v>
      </c>
      <c r="E11" s="1290" t="s">
        <v>717</v>
      </c>
      <c r="F11" s="1296">
        <v>165</v>
      </c>
      <c r="G11" s="1297">
        <f t="shared" si="0"/>
        <v>165</v>
      </c>
      <c r="H11" s="1296"/>
      <c r="I11" s="1296"/>
      <c r="J11" s="1284">
        <f t="shared" si="1"/>
        <v>165</v>
      </c>
      <c r="K11" s="1288"/>
      <c r="M11" s="652">
        <v>0</v>
      </c>
    </row>
    <row r="12" spans="1:13" s="652" customFormat="1" ht="21.75" customHeight="1" x14ac:dyDescent="0.35">
      <c r="A12" s="1301">
        <v>4</v>
      </c>
      <c r="B12" s="652" t="s">
        <v>1743</v>
      </c>
      <c r="D12" s="1287">
        <v>3</v>
      </c>
      <c r="E12" s="1290" t="s">
        <v>717</v>
      </c>
      <c r="F12" s="1296">
        <v>50.75</v>
      </c>
      <c r="G12" s="1297">
        <f t="shared" si="0"/>
        <v>152.25</v>
      </c>
      <c r="H12" s="1296"/>
      <c r="I12" s="1296"/>
      <c r="J12" s="1284">
        <f t="shared" si="1"/>
        <v>152.25</v>
      </c>
      <c r="K12" s="1288"/>
      <c r="M12" s="652">
        <v>0</v>
      </c>
    </row>
    <row r="13" spans="1:13" s="652" customFormat="1" ht="21.75" customHeight="1" x14ac:dyDescent="0.35">
      <c r="A13" s="1301">
        <v>5</v>
      </c>
      <c r="B13" s="652" t="s">
        <v>1744</v>
      </c>
      <c r="D13" s="1287">
        <v>7</v>
      </c>
      <c r="E13" s="1290" t="s">
        <v>717</v>
      </c>
      <c r="F13" s="1296">
        <v>44</v>
      </c>
      <c r="G13" s="1297">
        <f t="shared" si="0"/>
        <v>308</v>
      </c>
      <c r="H13" s="1296"/>
      <c r="I13" s="1296"/>
      <c r="J13" s="1284">
        <f t="shared" si="1"/>
        <v>308</v>
      </c>
      <c r="K13" s="1288"/>
      <c r="M13" s="652">
        <v>0</v>
      </c>
    </row>
    <row r="14" spans="1:13" s="652" customFormat="1" ht="21.75" customHeight="1" x14ac:dyDescent="0.35">
      <c r="A14" s="1301">
        <v>6</v>
      </c>
      <c r="B14" s="652" t="s">
        <v>1588</v>
      </c>
      <c r="D14" s="1287">
        <v>1</v>
      </c>
      <c r="E14" s="1290" t="s">
        <v>717</v>
      </c>
      <c r="F14" s="1296">
        <v>150</v>
      </c>
      <c r="G14" s="1297">
        <f t="shared" si="0"/>
        <v>150</v>
      </c>
      <c r="H14" s="1296"/>
      <c r="I14" s="1296"/>
      <c r="J14" s="1284">
        <f>SUM(G14,I14)</f>
        <v>150</v>
      </c>
      <c r="K14" s="1284"/>
      <c r="M14" s="652">
        <v>0</v>
      </c>
    </row>
    <row r="15" spans="1:13" s="652" customFormat="1" ht="21.75" customHeight="1" x14ac:dyDescent="0.35">
      <c r="A15" s="1301">
        <v>7</v>
      </c>
      <c r="B15" s="652" t="s">
        <v>1698</v>
      </c>
      <c r="D15" s="1287">
        <v>2</v>
      </c>
      <c r="E15" s="1290" t="s">
        <v>717</v>
      </c>
      <c r="F15" s="1296">
        <v>352</v>
      </c>
      <c r="G15" s="1297">
        <f t="shared" si="0"/>
        <v>704</v>
      </c>
      <c r="H15" s="1296"/>
      <c r="I15" s="1296">
        <v>1500</v>
      </c>
      <c r="J15" s="1284">
        <f t="shared" si="1"/>
        <v>2204</v>
      </c>
      <c r="K15" s="1285"/>
      <c r="M15" s="652">
        <v>0</v>
      </c>
    </row>
    <row r="16" spans="1:13" s="652" customFormat="1" ht="21.75" customHeight="1" x14ac:dyDescent="0.35">
      <c r="A16" s="1301">
        <v>8</v>
      </c>
      <c r="B16" s="1323" t="s">
        <v>1745</v>
      </c>
      <c r="D16" s="1287">
        <v>1</v>
      </c>
      <c r="E16" s="1290" t="s">
        <v>717</v>
      </c>
      <c r="F16" s="1296">
        <v>3500</v>
      </c>
      <c r="G16" s="1297">
        <f t="shared" si="0"/>
        <v>3500</v>
      </c>
      <c r="H16" s="1296"/>
      <c r="I16" s="1296"/>
      <c r="J16" s="1284">
        <f t="shared" si="1"/>
        <v>3500</v>
      </c>
      <c r="K16" s="1288"/>
      <c r="M16" s="652">
        <v>0</v>
      </c>
    </row>
    <row r="17" spans="1:15" s="652" customFormat="1" ht="21.75" customHeight="1" x14ac:dyDescent="0.35">
      <c r="A17" s="1301">
        <v>9</v>
      </c>
      <c r="B17" s="652" t="s">
        <v>1746</v>
      </c>
      <c r="D17" s="1287">
        <v>1</v>
      </c>
      <c r="E17" s="1290" t="s">
        <v>717</v>
      </c>
      <c r="F17" s="1296">
        <v>450</v>
      </c>
      <c r="G17" s="1297">
        <f t="shared" si="0"/>
        <v>450</v>
      </c>
      <c r="H17" s="1297"/>
      <c r="I17" s="1296"/>
      <c r="J17" s="1284">
        <f t="shared" si="1"/>
        <v>450</v>
      </c>
      <c r="K17" s="1288"/>
      <c r="M17" s="652">
        <v>0</v>
      </c>
    </row>
    <row r="18" spans="1:15" s="652" customFormat="1" ht="21.75" customHeight="1" x14ac:dyDescent="0.35">
      <c r="A18" s="1301">
        <v>10</v>
      </c>
      <c r="B18" s="652" t="s">
        <v>1747</v>
      </c>
      <c r="D18" s="1287">
        <v>2</v>
      </c>
      <c r="E18" s="1290" t="s">
        <v>553</v>
      </c>
      <c r="F18" s="1296">
        <v>580</v>
      </c>
      <c r="G18" s="1297">
        <f t="shared" si="0"/>
        <v>1160</v>
      </c>
      <c r="H18" s="1297"/>
      <c r="I18" s="1296"/>
      <c r="J18" s="1284">
        <f t="shared" si="1"/>
        <v>1160</v>
      </c>
      <c r="K18" s="1288"/>
      <c r="M18" s="652">
        <v>0</v>
      </c>
    </row>
    <row r="19" spans="1:15" s="652" customFormat="1" ht="21.75" customHeight="1" x14ac:dyDescent="0.35">
      <c r="A19" s="1301">
        <v>11</v>
      </c>
      <c r="B19" s="652" t="s">
        <v>1748</v>
      </c>
      <c r="D19" s="1287">
        <v>1</v>
      </c>
      <c r="E19" s="1290" t="s">
        <v>553</v>
      </c>
      <c r="F19" s="1296">
        <v>2500</v>
      </c>
      <c r="G19" s="1297">
        <f>IF(F19="-","-",D19*F19)</f>
        <v>2500</v>
      </c>
      <c r="H19" s="1297"/>
      <c r="I19" s="1296"/>
      <c r="J19" s="1284">
        <f>SUM(G19,I19)</f>
        <v>2500</v>
      </c>
      <c r="K19" s="1288"/>
      <c r="M19" s="652">
        <v>0</v>
      </c>
    </row>
    <row r="20" spans="1:15" s="652" customFormat="1" ht="21.75" customHeight="1" x14ac:dyDescent="0.35">
      <c r="A20" s="1301">
        <v>12</v>
      </c>
      <c r="B20" s="1323" t="s">
        <v>1749</v>
      </c>
      <c r="D20" s="1287">
        <v>1</v>
      </c>
      <c r="E20" s="1290" t="s">
        <v>717</v>
      </c>
      <c r="F20" s="1296">
        <v>8500</v>
      </c>
      <c r="G20" s="1297">
        <f t="shared" si="0"/>
        <v>8500</v>
      </c>
      <c r="H20" s="1296"/>
      <c r="I20" s="1296"/>
      <c r="J20" s="1284">
        <f t="shared" si="1"/>
        <v>8500</v>
      </c>
      <c r="K20" s="1288"/>
      <c r="M20" s="652">
        <v>0</v>
      </c>
    </row>
    <row r="21" spans="1:15" s="652" customFormat="1" ht="21.75" customHeight="1" x14ac:dyDescent="0.35">
      <c r="A21" s="1301">
        <v>13</v>
      </c>
      <c r="B21" s="652" t="s">
        <v>1699</v>
      </c>
      <c r="D21" s="1287">
        <v>2</v>
      </c>
      <c r="E21" s="1290" t="s">
        <v>123</v>
      </c>
      <c r="F21" s="1296">
        <v>25</v>
      </c>
      <c r="G21" s="1297">
        <f>IF(F21="-","-",D21*F21)</f>
        <v>50</v>
      </c>
      <c r="H21" s="1296"/>
      <c r="I21" s="1296"/>
      <c r="J21" s="1284">
        <f>SUM(G21,I21)</f>
        <v>50</v>
      </c>
      <c r="K21" s="1288"/>
      <c r="M21" s="652">
        <v>0</v>
      </c>
    </row>
    <row r="22" spans="1:15" s="652" customFormat="1" ht="21.75" customHeight="1" x14ac:dyDescent="0.35">
      <c r="A22" s="1301">
        <v>14</v>
      </c>
      <c r="B22" s="652" t="s">
        <v>556</v>
      </c>
      <c r="C22" s="1288"/>
      <c r="D22" s="652">
        <v>2</v>
      </c>
      <c r="E22" s="1232" t="s">
        <v>557</v>
      </c>
      <c r="F22" s="1296">
        <v>30</v>
      </c>
      <c r="G22" s="1296">
        <f t="shared" si="0"/>
        <v>60</v>
      </c>
      <c r="H22" s="1296"/>
      <c r="I22" s="1296"/>
      <c r="J22" s="1284">
        <f t="shared" si="1"/>
        <v>60</v>
      </c>
      <c r="K22" s="1288"/>
      <c r="M22" s="652">
        <v>0</v>
      </c>
      <c r="N22" s="1294">
        <f>SUM(G9:G22)</f>
        <v>18405.79</v>
      </c>
      <c r="O22" s="1295">
        <f>N22*0.2</f>
        <v>3681.1580000000004</v>
      </c>
    </row>
    <row r="23" spans="1:15" s="652" customFormat="1" ht="21.75" customHeight="1" x14ac:dyDescent="0.35">
      <c r="A23" s="1301">
        <v>15</v>
      </c>
      <c r="B23" s="652" t="s">
        <v>685</v>
      </c>
      <c r="C23" s="1288"/>
      <c r="D23" s="652">
        <v>4</v>
      </c>
      <c r="E23" s="1232" t="s">
        <v>103</v>
      </c>
      <c r="F23" s="1296" t="s">
        <v>418</v>
      </c>
      <c r="G23" s="1296" t="str">
        <f t="shared" si="0"/>
        <v>-</v>
      </c>
      <c r="H23" s="1296">
        <v>30</v>
      </c>
      <c r="I23" s="1296">
        <f>IF(H23="-","-",H23*D23)</f>
        <v>120</v>
      </c>
      <c r="J23" s="1284">
        <f t="shared" si="1"/>
        <v>120</v>
      </c>
      <c r="K23" s="1288"/>
      <c r="M23" s="652">
        <v>0</v>
      </c>
    </row>
    <row r="24" spans="1:15" s="652" customFormat="1" ht="21.75" customHeight="1" x14ac:dyDescent="0.35">
      <c r="A24" s="1301">
        <v>16</v>
      </c>
      <c r="B24" s="652" t="s">
        <v>1750</v>
      </c>
      <c r="D24" s="1287">
        <v>1</v>
      </c>
      <c r="E24" s="1232" t="s">
        <v>747</v>
      </c>
      <c r="F24" s="1296">
        <v>300</v>
      </c>
      <c r="G24" s="1296">
        <f t="shared" si="0"/>
        <v>300</v>
      </c>
      <c r="H24" s="1291"/>
      <c r="I24" s="1291"/>
      <c r="J24" s="1284">
        <f t="shared" si="1"/>
        <v>300</v>
      </c>
      <c r="K24" s="1288"/>
      <c r="M24" s="652">
        <v>0</v>
      </c>
    </row>
    <row r="25" spans="1:15" s="652" customFormat="1" ht="21.75" customHeight="1" x14ac:dyDescent="0.35">
      <c r="A25" s="1301"/>
      <c r="D25" s="1287"/>
      <c r="E25" s="1232"/>
      <c r="F25" s="1296"/>
      <c r="G25" s="1296"/>
      <c r="H25" s="1291"/>
      <c r="I25" s="1291"/>
      <c r="J25" s="1284"/>
      <c r="K25" s="1288"/>
    </row>
    <row r="26" spans="1:15" s="652" customFormat="1" ht="21.75" customHeight="1" x14ac:dyDescent="0.35">
      <c r="A26" s="1304"/>
      <c r="B26" s="1305"/>
      <c r="C26" s="1306" t="s">
        <v>373</v>
      </c>
      <c r="D26" s="1307"/>
      <c r="E26" s="1308"/>
      <c r="F26" s="1309"/>
      <c r="G26" s="1310">
        <f>SUM(G9:G24)</f>
        <v>18705.79</v>
      </c>
      <c r="H26" s="1311"/>
      <c r="I26" s="1310">
        <f>SUM(I9:I24)</f>
        <v>1733</v>
      </c>
      <c r="J26" s="1312">
        <f>SUM(J9:J24)</f>
        <v>20438.79</v>
      </c>
      <c r="K26" s="1324"/>
      <c r="M26" s="1294">
        <f>G26+I26</f>
        <v>20438.79</v>
      </c>
    </row>
    <row r="27" spans="1:15" s="652" customFormat="1" ht="21.75" customHeight="1" x14ac:dyDescent="0.35">
      <c r="A27" s="680"/>
      <c r="B27" s="1314"/>
      <c r="C27" s="1315" t="s">
        <v>405</v>
      </c>
      <c r="D27" s="1316"/>
      <c r="E27" s="682"/>
      <c r="F27" s="1317"/>
      <c r="G27" s="1318"/>
      <c r="H27" s="1319"/>
      <c r="I27" s="1318"/>
      <c r="J27" s="1318">
        <f>J26</f>
        <v>20438.79</v>
      </c>
      <c r="K27" s="1260"/>
    </row>
    <row r="28" spans="1:15" s="652" customFormat="1" ht="21.75" customHeight="1" x14ac:dyDescent="0.35"/>
    <row r="29" spans="1:15" s="652" customFormat="1" ht="21.75" customHeight="1" x14ac:dyDescent="0.35"/>
    <row r="30" spans="1:15" ht="21.75" customHeight="1" x14ac:dyDescent="0.6"/>
    <row r="31" spans="1:15" ht="21.75" customHeight="1" x14ac:dyDescent="0.6"/>
    <row r="32" spans="1:15" ht="21.75" customHeight="1" x14ac:dyDescent="0.6"/>
    <row r="33" ht="21.75" customHeight="1" x14ac:dyDescent="0.6"/>
    <row r="34" ht="21.75" customHeight="1" x14ac:dyDescent="0.6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  <row r="98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7" orientation="portrait" r:id="rId1"/>
  <headerFooter alignWithMargins="0">
    <oddHeader xml:space="preserve">&amp;Rแบบ ปร.4 แผ่นที่ &amp;P/1 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90" workbookViewId="0">
      <selection activeCell="O13" sqref="O13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8.75" style="272" customWidth="1"/>
    <col min="4" max="4" width="4.75" style="272" customWidth="1"/>
    <col min="5" max="5" width="5.75" style="272" customWidth="1"/>
    <col min="6" max="9" width="8.75" style="272" customWidth="1"/>
    <col min="10" max="10" width="9.875" style="272" customWidth="1"/>
    <col min="11" max="11" width="8.75" style="272" customWidth="1"/>
    <col min="12" max="12" width="0.75" style="272" customWidth="1"/>
    <col min="13" max="16384" width="9.125" style="272"/>
  </cols>
  <sheetData>
    <row r="1" spans="1:13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3" s="652" customFormat="1" ht="23.25" customHeight="1" x14ac:dyDescent="0.35">
      <c r="A2" s="644" t="s">
        <v>822</v>
      </c>
      <c r="B2" s="645"/>
      <c r="C2" s="646" t="s">
        <v>821</v>
      </c>
      <c r="D2" s="647"/>
      <c r="E2" s="645"/>
      <c r="F2" s="648"/>
      <c r="G2" s="649"/>
      <c r="H2" s="649"/>
      <c r="I2" s="653"/>
      <c r="J2" s="654"/>
      <c r="K2" s="651"/>
    </row>
    <row r="3" spans="1:13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58"/>
      <c r="K3" s="661"/>
    </row>
    <row r="4" spans="1:13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3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3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3" s="652" customFormat="1" ht="23.2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3" s="652" customFormat="1" ht="23.2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3" ht="23.25" customHeight="1" x14ac:dyDescent="0.6">
      <c r="A9" s="1121"/>
      <c r="B9" s="1199" t="s">
        <v>452</v>
      </c>
      <c r="C9" s="1124"/>
      <c r="D9" s="1118"/>
      <c r="E9" s="1122"/>
      <c r="F9" s="1129"/>
      <c r="G9" s="1129"/>
      <c r="H9" s="1129"/>
      <c r="I9" s="1129"/>
      <c r="J9" s="1125"/>
      <c r="K9" s="1124"/>
    </row>
    <row r="10" spans="1:13" ht="23.25" customHeight="1" x14ac:dyDescent="0.6">
      <c r="A10" s="1121">
        <v>1.1000000000000001</v>
      </c>
      <c r="B10" s="1131" t="s">
        <v>450</v>
      </c>
      <c r="C10" s="1124"/>
      <c r="D10" s="1118"/>
      <c r="E10" s="1122" t="s">
        <v>636</v>
      </c>
      <c r="F10" s="1129" t="s">
        <v>418</v>
      </c>
      <c r="G10" s="1129" t="str">
        <f>IF(F10="-","-",D10*F10)</f>
        <v>-</v>
      </c>
      <c r="H10" s="1129">
        <v>15</v>
      </c>
      <c r="I10" s="1129">
        <f>IF(H10="-","-",H10*D10)</f>
        <v>0</v>
      </c>
      <c r="J10" s="1125">
        <f>SUM(G10,I10)</f>
        <v>0</v>
      </c>
      <c r="K10" s="1124"/>
    </row>
    <row r="11" spans="1:13" ht="23.25" customHeight="1" x14ac:dyDescent="0.6">
      <c r="A11" s="1121">
        <v>1.2</v>
      </c>
      <c r="B11" s="1131" t="s">
        <v>451</v>
      </c>
      <c r="C11" s="1124"/>
      <c r="D11" s="1200"/>
      <c r="E11" s="1122" t="s">
        <v>562</v>
      </c>
      <c r="F11" s="1123">
        <v>160</v>
      </c>
      <c r="G11" s="1129">
        <f>IF(F11="-","-",D11*F11)</f>
        <v>0</v>
      </c>
      <c r="H11" s="1123">
        <v>46</v>
      </c>
      <c r="I11" s="1129">
        <f>IF(H11="-","-",H11*D11)</f>
        <v>0</v>
      </c>
      <c r="J11" s="1125">
        <f>SUM(G11,I11)</f>
        <v>0</v>
      </c>
      <c r="K11" s="1124"/>
    </row>
    <row r="12" spans="1:13" ht="23.25" customHeight="1" x14ac:dyDescent="0.6">
      <c r="A12" s="1121"/>
      <c r="B12" s="1131"/>
      <c r="C12" s="1124"/>
      <c r="D12" s="1201"/>
      <c r="E12" s="1128"/>
      <c r="F12" s="1123"/>
      <c r="G12" s="1125"/>
      <c r="H12" s="1123"/>
      <c r="I12" s="1123"/>
      <c r="J12" s="1124"/>
      <c r="K12" s="1124"/>
    </row>
    <row r="13" spans="1:13" ht="23.25" customHeight="1" x14ac:dyDescent="0.6">
      <c r="A13" s="1194"/>
      <c r="B13" s="1141"/>
      <c r="C13" s="1142" t="s">
        <v>373</v>
      </c>
      <c r="D13" s="1143"/>
      <c r="E13" s="1144"/>
      <c r="F13" s="1145"/>
      <c r="G13" s="1146">
        <f>SUM(G9:G12)</f>
        <v>0</v>
      </c>
      <c r="H13" s="1147"/>
      <c r="I13" s="1146">
        <f>SUM(I9:I12)</f>
        <v>0</v>
      </c>
      <c r="J13" s="1148">
        <f>SUM(J9:J12)</f>
        <v>0</v>
      </c>
      <c r="K13" s="1195"/>
      <c r="M13" s="306">
        <f>G13+I13</f>
        <v>0</v>
      </c>
    </row>
    <row r="14" spans="1:13" ht="23.25" customHeight="1" x14ac:dyDescent="0.6">
      <c r="A14" s="1119"/>
      <c r="B14" s="1150"/>
      <c r="C14" s="1133" t="s">
        <v>374</v>
      </c>
      <c r="D14" s="1151"/>
      <c r="E14" s="1120"/>
      <c r="F14" s="1152"/>
      <c r="G14" s="1134"/>
      <c r="H14" s="1153"/>
      <c r="I14" s="1134"/>
      <c r="J14" s="1134">
        <f>ROUNDDOWN(J13,0)</f>
        <v>0</v>
      </c>
      <c r="K14" s="1196"/>
    </row>
    <row r="15" spans="1:13" ht="21.75" customHeight="1" x14ac:dyDescent="0.6"/>
    <row r="16" spans="1:13" ht="21.75" customHeight="1" x14ac:dyDescent="0.6">
      <c r="H16" s="272" t="s">
        <v>809</v>
      </c>
    </row>
  </sheetData>
  <phoneticPr fontId="27" type="noConversion"/>
  <printOptions horizontalCentered="1"/>
  <pageMargins left="0.5" right="0.3" top="0.75" bottom="0.5" header="0.5" footer="0.25"/>
  <pageSetup paperSize="9" orientation="portrait" r:id="rId1"/>
  <headerFooter alignWithMargins="0">
    <oddHeader>&amp;Rแบบ ปร.4 แผ่นที่ &amp;P/1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view="pageBreakPreview" zoomScale="110" zoomScaleNormal="90" zoomScaleSheetLayoutView="110" workbookViewId="0">
      <selection activeCell="S11" sqref="S11"/>
    </sheetView>
  </sheetViews>
  <sheetFormatPr defaultColWidth="9.125" defaultRowHeight="21" x14ac:dyDescent="0.6"/>
  <cols>
    <col min="1" max="1" width="5.375" style="272" customWidth="1"/>
    <col min="2" max="2" width="14.75" style="272" customWidth="1"/>
    <col min="3" max="3" width="18.75" style="272" customWidth="1"/>
    <col min="4" max="4" width="4.75" style="272" customWidth="1"/>
    <col min="5" max="5" width="5.75" style="272" customWidth="1"/>
    <col min="6" max="7" width="8.75" style="272" customWidth="1"/>
    <col min="8" max="8" width="12.375" style="272" customWidth="1"/>
    <col min="9" max="9" width="13.25" style="272" customWidth="1"/>
    <col min="10" max="10" width="12.875" style="272" customWidth="1"/>
    <col min="11" max="11" width="8.5" style="272" customWidth="1"/>
    <col min="12" max="12" width="1.875" style="272" customWidth="1"/>
    <col min="13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46" t="s">
        <v>826</v>
      </c>
      <c r="D2" s="647"/>
      <c r="E2" s="645"/>
      <c r="F2" s="648"/>
      <c r="G2" s="649"/>
      <c r="H2" s="649"/>
      <c r="I2" s="653"/>
      <c r="J2" s="654"/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51"/>
      <c r="C3" s="655"/>
      <c r="D3" s="656"/>
      <c r="E3" s="645"/>
      <c r="F3" s="645"/>
      <c r="G3" s="645"/>
      <c r="H3" s="645"/>
      <c r="I3" s="657"/>
      <c r="J3" s="661"/>
      <c r="K3" s="661"/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s="652" customFormat="1" ht="21.75" customHeight="1" x14ac:dyDescent="0.35">
      <c r="A9" s="1286">
        <v>1</v>
      </c>
      <c r="B9" s="1279" t="s">
        <v>645</v>
      </c>
      <c r="C9" s="1280"/>
      <c r="D9" s="1325">
        <v>1</v>
      </c>
      <c r="E9" s="1290" t="s">
        <v>103</v>
      </c>
      <c r="F9" s="1326" t="s">
        <v>418</v>
      </c>
      <c r="G9" s="1296" t="str">
        <f>IF(F9="-","-",D9*F9)</f>
        <v>-</v>
      </c>
      <c r="H9" s="1451">
        <v>13500</v>
      </c>
      <c r="I9" s="1296">
        <f>IF(H9="-","-",H9*D9)</f>
        <v>13500</v>
      </c>
      <c r="J9" s="1328">
        <f>SUM(G9,I9)</f>
        <v>13500</v>
      </c>
      <c r="K9" s="1329"/>
    </row>
    <row r="10" spans="1:11" s="652" customFormat="1" ht="21.75" customHeight="1" x14ac:dyDescent="0.35">
      <c r="A10" s="1286"/>
      <c r="B10" s="1287"/>
      <c r="C10" s="1288"/>
      <c r="D10" s="1330"/>
      <c r="E10" s="1290"/>
      <c r="F10" s="1326"/>
      <c r="G10" s="1331"/>
      <c r="H10" s="1327"/>
      <c r="I10" s="1331"/>
      <c r="J10" s="1332"/>
      <c r="K10" s="1332"/>
    </row>
    <row r="11" spans="1:11" s="652" customFormat="1" ht="21.75" customHeight="1" x14ac:dyDescent="0.35">
      <c r="A11" s="1286"/>
      <c r="B11" s="1287"/>
      <c r="C11" s="1288"/>
      <c r="D11" s="1330"/>
      <c r="E11" s="1290"/>
      <c r="F11" s="1326"/>
      <c r="G11" s="1331"/>
      <c r="H11" s="1327"/>
      <c r="I11" s="1331"/>
      <c r="J11" s="1332"/>
      <c r="K11" s="1332"/>
    </row>
    <row r="12" spans="1:11" s="652" customFormat="1" ht="21.75" customHeight="1" x14ac:dyDescent="0.35">
      <c r="A12" s="1286"/>
      <c r="B12" s="1287"/>
      <c r="C12" s="1288"/>
      <c r="D12" s="1330"/>
      <c r="E12" s="1290"/>
      <c r="F12" s="1326"/>
      <c r="G12" s="1331"/>
      <c r="H12" s="1327"/>
      <c r="I12" s="1331"/>
      <c r="J12" s="1332"/>
      <c r="K12" s="1332"/>
    </row>
    <row r="13" spans="1:11" s="652" customFormat="1" ht="21.75" customHeight="1" x14ac:dyDescent="0.35">
      <c r="A13" s="1304"/>
      <c r="B13" s="1305"/>
      <c r="C13" s="1306" t="s">
        <v>373</v>
      </c>
      <c r="D13" s="1307"/>
      <c r="E13" s="1308"/>
      <c r="F13" s="1309"/>
      <c r="G13" s="1310">
        <f>SUM(G9:G12)</f>
        <v>0</v>
      </c>
      <c r="H13" s="1311"/>
      <c r="I13" s="1310">
        <f>SUM(I9:I12)</f>
        <v>13500</v>
      </c>
      <c r="J13" s="1310">
        <f>SUM(J9:J12)</f>
        <v>13500</v>
      </c>
      <c r="K13" s="1324"/>
    </row>
    <row r="14" spans="1:11" s="652" customFormat="1" ht="21.75" customHeight="1" x14ac:dyDescent="0.35">
      <c r="A14" s="680"/>
      <c r="B14" s="1314"/>
      <c r="C14" s="1315" t="s">
        <v>405</v>
      </c>
      <c r="D14" s="1316"/>
      <c r="E14" s="682"/>
      <c r="F14" s="1317"/>
      <c r="G14" s="1318"/>
      <c r="H14" s="1319"/>
      <c r="I14" s="1318"/>
      <c r="J14" s="1318">
        <f>ROUNDDOWN(J13,-2)</f>
        <v>13500</v>
      </c>
      <c r="K14" s="1260"/>
    </row>
    <row r="15" spans="1:11" s="652" customFormat="1" ht="21.75" customHeight="1" x14ac:dyDescent="0.35">
      <c r="B15" s="1233"/>
      <c r="C15" s="1233"/>
      <c r="D15" s="1333"/>
      <c r="E15" s="1233"/>
      <c r="F15" s="1334"/>
      <c r="G15" s="1236"/>
      <c r="H15" s="1335"/>
      <c r="I15" s="1335"/>
    </row>
    <row r="16" spans="1:11" ht="21.75" customHeight="1" x14ac:dyDescent="0.6"/>
    <row r="17" ht="21.75" customHeight="1" x14ac:dyDescent="0.6"/>
    <row r="18" ht="21.75" customHeight="1" x14ac:dyDescent="0.6"/>
    <row r="19" ht="21.75" customHeight="1" x14ac:dyDescent="0.6"/>
    <row r="20" ht="21.75" customHeight="1" x14ac:dyDescent="0.6"/>
    <row r="21" ht="21.75" customHeight="1" x14ac:dyDescent="0.6"/>
    <row r="22" ht="21.75" customHeight="1" x14ac:dyDescent="0.6"/>
    <row r="23" ht="21.75" customHeight="1" x14ac:dyDescent="0.6"/>
    <row r="24" ht="21.75" customHeight="1" x14ac:dyDescent="0.6"/>
    <row r="25" ht="21.75" customHeight="1" x14ac:dyDescent="0.6"/>
    <row r="26" ht="21.75" customHeight="1" x14ac:dyDescent="0.6"/>
    <row r="27" ht="21.75" customHeight="1" x14ac:dyDescent="0.6"/>
    <row r="28" ht="21.75" customHeight="1" x14ac:dyDescent="0.6"/>
    <row r="29" ht="21.75" customHeight="1" x14ac:dyDescent="0.6"/>
    <row r="30" ht="21.75" customHeight="1" x14ac:dyDescent="0.6"/>
    <row r="31" ht="21.75" customHeight="1" x14ac:dyDescent="0.6"/>
    <row r="32" ht="21.75" customHeight="1" x14ac:dyDescent="0.6"/>
    <row r="33" ht="21.75" customHeight="1" x14ac:dyDescent="0.6"/>
    <row r="34" ht="21.75" customHeight="1" x14ac:dyDescent="0.6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5" orientation="portrait" r:id="rId1"/>
  <headerFooter alignWithMargins="0">
    <oddHeader>&amp;Rแบบ ปร.4 แผ่นที่ &amp;P/1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topLeftCell="A11" zoomScale="120" zoomScaleNormal="130" zoomScaleSheetLayoutView="120" workbookViewId="0">
      <selection activeCell="J27" sqref="J27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8.75" style="272" customWidth="1"/>
    <col min="4" max="4" width="5" style="272" customWidth="1"/>
    <col min="5" max="5" width="6" style="272" customWidth="1"/>
    <col min="6" max="6" width="11.625" style="272" customWidth="1"/>
    <col min="7" max="7" width="10.625" style="272" customWidth="1"/>
    <col min="8" max="8" width="9" style="272" customWidth="1"/>
    <col min="9" max="9" width="10.25" style="272" customWidth="1"/>
    <col min="10" max="10" width="11.25" style="272" customWidth="1"/>
    <col min="11" max="11" width="8.125" style="272" customWidth="1"/>
    <col min="12" max="12" width="0.875" style="272" customWidth="1"/>
    <col min="13" max="13" width="2.375" style="272" customWidth="1"/>
    <col min="14" max="14" width="9.625" style="272" bestFit="1" customWidth="1"/>
    <col min="15" max="15" width="9.25" style="272" bestFit="1" customWidth="1"/>
    <col min="16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46" t="s">
        <v>825</v>
      </c>
      <c r="D2" s="647"/>
      <c r="E2" s="645"/>
      <c r="F2" s="648"/>
      <c r="G2" s="649"/>
      <c r="H2" s="649"/>
      <c r="I2" s="653"/>
      <c r="J2" s="654"/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56"/>
      <c r="F3" s="645"/>
      <c r="G3" s="645"/>
      <c r="H3" s="645"/>
      <c r="I3" s="657"/>
      <c r="J3" s="658"/>
      <c r="K3" s="661"/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s="652" customFormat="1" ht="21.75" customHeight="1" x14ac:dyDescent="0.35">
      <c r="A9" s="1286"/>
      <c r="B9" s="652" t="s">
        <v>278</v>
      </c>
      <c r="D9" s="1289"/>
      <c r="E9" s="1290"/>
      <c r="F9" s="1296"/>
      <c r="G9" s="1297"/>
      <c r="H9" s="1297"/>
      <c r="I9" s="1297"/>
      <c r="J9" s="1284"/>
      <c r="K9" s="1288"/>
    </row>
    <row r="10" spans="1:11" s="652" customFormat="1" ht="21.75" customHeight="1" x14ac:dyDescent="0.35">
      <c r="A10" s="1286">
        <v>1</v>
      </c>
      <c r="B10" s="652" t="s">
        <v>1722</v>
      </c>
      <c r="D10" s="1289">
        <v>20</v>
      </c>
      <c r="E10" s="1290" t="s">
        <v>633</v>
      </c>
      <c r="F10" s="1296">
        <v>150</v>
      </c>
      <c r="G10" s="1297">
        <f t="shared" ref="G10:G21" si="0">D10*F10</f>
        <v>3000</v>
      </c>
      <c r="H10" s="1297">
        <v>20</v>
      </c>
      <c r="I10" s="1297">
        <f t="shared" ref="I10:I21" si="1">D10*H10</f>
        <v>400</v>
      </c>
      <c r="J10" s="1284">
        <f t="shared" ref="J10:J15" si="2">SUM(G10,I10)</f>
        <v>3400</v>
      </c>
      <c r="K10" s="1288"/>
    </row>
    <row r="11" spans="1:11" s="652" customFormat="1" ht="21.75" customHeight="1" x14ac:dyDescent="0.35">
      <c r="A11" s="1286">
        <v>2</v>
      </c>
      <c r="B11" s="652" t="s">
        <v>1723</v>
      </c>
      <c r="D11" s="1289">
        <v>15</v>
      </c>
      <c r="E11" s="1290" t="s">
        <v>633</v>
      </c>
      <c r="F11" s="1296">
        <v>15</v>
      </c>
      <c r="G11" s="1297">
        <f t="shared" si="0"/>
        <v>225</v>
      </c>
      <c r="H11" s="1297">
        <v>10</v>
      </c>
      <c r="I11" s="1297">
        <f t="shared" si="1"/>
        <v>150</v>
      </c>
      <c r="J11" s="1284">
        <f t="shared" si="2"/>
        <v>375</v>
      </c>
      <c r="K11" s="1288"/>
    </row>
    <row r="12" spans="1:11" s="652" customFormat="1" ht="21.75" customHeight="1" x14ac:dyDescent="0.35">
      <c r="A12" s="1286">
        <v>3</v>
      </c>
      <c r="B12" s="1323" t="s">
        <v>1789</v>
      </c>
      <c r="C12" s="1288"/>
      <c r="D12" s="670">
        <v>1</v>
      </c>
      <c r="E12" s="1232" t="s">
        <v>553</v>
      </c>
      <c r="F12" s="1296">
        <v>550</v>
      </c>
      <c r="G12" s="1297">
        <f>D12*F12</f>
        <v>550</v>
      </c>
      <c r="H12" s="1297">
        <v>150</v>
      </c>
      <c r="I12" s="1297">
        <f t="shared" si="1"/>
        <v>150</v>
      </c>
      <c r="J12" s="1284">
        <f t="shared" si="2"/>
        <v>700</v>
      </c>
      <c r="K12" s="1288"/>
    </row>
    <row r="13" spans="1:11" s="652" customFormat="1" ht="21.75" customHeight="1" x14ac:dyDescent="0.35">
      <c r="A13" s="1286">
        <v>4</v>
      </c>
      <c r="B13" s="652" t="s">
        <v>1724</v>
      </c>
      <c r="C13" s="1288"/>
      <c r="D13" s="670">
        <v>1</v>
      </c>
      <c r="E13" s="1232" t="s">
        <v>553</v>
      </c>
      <c r="F13" s="1296">
        <v>350</v>
      </c>
      <c r="G13" s="1297">
        <f t="shared" si="0"/>
        <v>350</v>
      </c>
      <c r="H13" s="1297">
        <v>50</v>
      </c>
      <c r="I13" s="1297">
        <f t="shared" si="1"/>
        <v>50</v>
      </c>
      <c r="J13" s="1284">
        <f t="shared" si="2"/>
        <v>400</v>
      </c>
      <c r="K13" s="1288"/>
    </row>
    <row r="14" spans="1:11" s="652" customFormat="1" ht="21.75" customHeight="1" x14ac:dyDescent="0.35">
      <c r="A14" s="1286">
        <v>5</v>
      </c>
      <c r="B14" s="652" t="s">
        <v>1725</v>
      </c>
      <c r="C14" s="1288"/>
      <c r="D14" s="670">
        <v>1</v>
      </c>
      <c r="E14" s="1232" t="s">
        <v>719</v>
      </c>
      <c r="F14" s="1296">
        <v>150</v>
      </c>
      <c r="G14" s="1297">
        <f>D14*F14</f>
        <v>150</v>
      </c>
      <c r="H14" s="1297">
        <v>0</v>
      </c>
      <c r="I14" s="1297">
        <f>D14*H14</f>
        <v>0</v>
      </c>
      <c r="J14" s="1284">
        <f>SUM(G14,I14)</f>
        <v>150</v>
      </c>
      <c r="K14" s="1288"/>
    </row>
    <row r="15" spans="1:11" s="652" customFormat="1" ht="21.75" customHeight="1" x14ac:dyDescent="0.35">
      <c r="A15" s="1286">
        <v>6</v>
      </c>
      <c r="B15" s="1336" t="s">
        <v>1751</v>
      </c>
      <c r="C15" s="1288"/>
      <c r="D15" s="670">
        <v>0</v>
      </c>
      <c r="E15" s="1232" t="s">
        <v>5</v>
      </c>
      <c r="F15" s="1296">
        <v>6219</v>
      </c>
      <c r="G15" s="1297">
        <f t="shared" si="0"/>
        <v>0</v>
      </c>
      <c r="H15" s="1297">
        <v>350</v>
      </c>
      <c r="I15" s="1297">
        <f t="shared" si="1"/>
        <v>0</v>
      </c>
      <c r="J15" s="1284">
        <f t="shared" si="2"/>
        <v>0</v>
      </c>
      <c r="K15" s="1288"/>
    </row>
    <row r="16" spans="1:11" s="652" customFormat="1" ht="21.75" customHeight="1" x14ac:dyDescent="0.35">
      <c r="A16" s="1286"/>
      <c r="B16" s="1336" t="s">
        <v>1752</v>
      </c>
      <c r="C16" s="1288"/>
      <c r="D16" s="670"/>
      <c r="E16" s="1232"/>
      <c r="F16" s="1296"/>
      <c r="G16" s="1297"/>
      <c r="H16" s="1297"/>
      <c r="I16" s="1297"/>
      <c r="J16" s="1284"/>
      <c r="K16" s="1288"/>
    </row>
    <row r="17" spans="1:15" s="652" customFormat="1" ht="21.75" customHeight="1" x14ac:dyDescent="0.35">
      <c r="A17" s="1286">
        <v>7</v>
      </c>
      <c r="B17" s="652" t="s">
        <v>1760</v>
      </c>
      <c r="C17" s="1288"/>
      <c r="D17" s="670">
        <v>0</v>
      </c>
      <c r="E17" s="1232" t="s">
        <v>717</v>
      </c>
      <c r="F17" s="1296">
        <v>440</v>
      </c>
      <c r="G17" s="1297">
        <f>D17*F17</f>
        <v>0</v>
      </c>
      <c r="H17" s="1297">
        <v>150</v>
      </c>
      <c r="I17" s="1297">
        <f>D17*H17</f>
        <v>0</v>
      </c>
      <c r="J17" s="1284">
        <f>SUM(G17,I17)</f>
        <v>0</v>
      </c>
      <c r="K17" s="1288"/>
    </row>
    <row r="18" spans="1:15" s="652" customFormat="1" ht="21.75" customHeight="1" x14ac:dyDescent="0.35">
      <c r="A18" s="1286">
        <v>7</v>
      </c>
      <c r="B18" s="1287" t="s">
        <v>813</v>
      </c>
      <c r="C18" s="1288"/>
      <c r="D18" s="1289">
        <v>15</v>
      </c>
      <c r="E18" s="1290" t="s">
        <v>679</v>
      </c>
      <c r="F18" s="1326">
        <v>8.5</v>
      </c>
      <c r="G18" s="1297">
        <f>D18*F18</f>
        <v>127.5</v>
      </c>
      <c r="H18" s="1337">
        <v>10</v>
      </c>
      <c r="I18" s="1297">
        <f>D18*H18</f>
        <v>150</v>
      </c>
      <c r="J18" s="1284">
        <f>SUM(G18,I18)</f>
        <v>277.5</v>
      </c>
      <c r="K18" s="1288"/>
    </row>
    <row r="19" spans="1:15" s="652" customFormat="1" ht="21.75" customHeight="1" x14ac:dyDescent="0.35">
      <c r="A19" s="1286">
        <v>8</v>
      </c>
      <c r="B19" s="1338" t="s">
        <v>1841</v>
      </c>
      <c r="C19" s="1288"/>
      <c r="D19" s="670">
        <v>1</v>
      </c>
      <c r="E19" s="1290" t="s">
        <v>417</v>
      </c>
      <c r="F19" s="1291">
        <v>600</v>
      </c>
      <c r="G19" s="1297">
        <f t="shared" si="0"/>
        <v>600</v>
      </c>
      <c r="H19" s="1291">
        <v>250</v>
      </c>
      <c r="I19" s="1297">
        <f t="shared" si="1"/>
        <v>250</v>
      </c>
      <c r="J19" s="1284">
        <f>SUM(G19,I19)</f>
        <v>850</v>
      </c>
      <c r="K19" s="1288"/>
    </row>
    <row r="20" spans="1:15" s="652" customFormat="1" ht="21.75" customHeight="1" x14ac:dyDescent="0.35">
      <c r="A20" s="1286">
        <v>9</v>
      </c>
      <c r="B20" s="1338" t="s">
        <v>1726</v>
      </c>
      <c r="C20" s="1288"/>
      <c r="D20" s="670">
        <v>20</v>
      </c>
      <c r="E20" s="1290" t="s">
        <v>679</v>
      </c>
      <c r="F20" s="1291">
        <v>35</v>
      </c>
      <c r="G20" s="1297">
        <f t="shared" si="0"/>
        <v>700</v>
      </c>
      <c r="H20" s="1291">
        <v>20</v>
      </c>
      <c r="I20" s="1297">
        <f t="shared" si="1"/>
        <v>400</v>
      </c>
      <c r="J20" s="1284">
        <f>SUM(G20,I20)</f>
        <v>1100</v>
      </c>
      <c r="K20" s="1288"/>
    </row>
    <row r="21" spans="1:15" s="652" customFormat="1" ht="21.75" customHeight="1" x14ac:dyDescent="0.35">
      <c r="A21" s="1286">
        <v>10</v>
      </c>
      <c r="B21" s="1338" t="s">
        <v>1753</v>
      </c>
      <c r="C21" s="1288"/>
      <c r="D21" s="670">
        <v>0</v>
      </c>
      <c r="E21" s="1290" t="s">
        <v>553</v>
      </c>
      <c r="F21" s="1291">
        <v>18500</v>
      </c>
      <c r="G21" s="1297">
        <f t="shared" si="0"/>
        <v>0</v>
      </c>
      <c r="H21" s="1291">
        <v>350</v>
      </c>
      <c r="I21" s="1297">
        <f t="shared" si="1"/>
        <v>0</v>
      </c>
      <c r="J21" s="1284">
        <f>SUM(G21,I21)</f>
        <v>0</v>
      </c>
      <c r="K21" s="1288"/>
    </row>
    <row r="22" spans="1:15" s="652" customFormat="1" ht="21.75" customHeight="1" x14ac:dyDescent="0.35">
      <c r="A22" s="1286"/>
      <c r="B22" s="652" t="s">
        <v>1754</v>
      </c>
      <c r="D22" s="1339"/>
      <c r="E22" s="1232"/>
      <c r="F22" s="1296"/>
      <c r="G22" s="1297"/>
      <c r="H22" s="1291"/>
      <c r="I22" s="1297"/>
      <c r="J22" s="1284"/>
      <c r="K22" s="1288"/>
    </row>
    <row r="23" spans="1:15" s="652" customFormat="1" ht="21.75" customHeight="1" x14ac:dyDescent="0.35">
      <c r="A23" s="1286"/>
      <c r="D23" s="1339"/>
      <c r="E23" s="1232"/>
      <c r="F23" s="1296"/>
      <c r="G23" s="1297"/>
      <c r="H23" s="1291"/>
      <c r="I23" s="1297"/>
      <c r="J23" s="1284"/>
      <c r="K23" s="1288"/>
    </row>
    <row r="24" spans="1:15" s="652" customFormat="1" ht="21.75" customHeight="1" x14ac:dyDescent="0.35">
      <c r="A24" s="1286"/>
      <c r="D24" s="1339"/>
      <c r="E24" s="1232"/>
      <c r="F24" s="1296"/>
      <c r="G24" s="1297"/>
      <c r="H24" s="1291"/>
      <c r="I24" s="1297"/>
      <c r="J24" s="1284"/>
      <c r="K24" s="1288"/>
    </row>
    <row r="25" spans="1:15" s="652" customFormat="1" ht="21.75" customHeight="1" x14ac:dyDescent="0.35">
      <c r="A25" s="1304"/>
      <c r="B25" s="1305"/>
      <c r="C25" s="1306" t="s">
        <v>317</v>
      </c>
      <c r="D25" s="1307"/>
      <c r="E25" s="1308"/>
      <c r="F25" s="1309"/>
      <c r="G25" s="1310">
        <f>SUM(G10:G22)</f>
        <v>5702.5</v>
      </c>
      <c r="H25" s="1311"/>
      <c r="I25" s="1310">
        <f>SUM(I10:I22)</f>
        <v>1550</v>
      </c>
      <c r="J25" s="1340">
        <f>SUM(G25,I25)</f>
        <v>7252.5</v>
      </c>
      <c r="K25" s="1313"/>
      <c r="N25" s="1294">
        <f>SUM(J10:J22)</f>
        <v>7252.5</v>
      </c>
      <c r="O25" s="1295">
        <f>G25*0.2</f>
        <v>1140.5</v>
      </c>
    </row>
    <row r="26" spans="1:15" s="652" customFormat="1" ht="21.75" customHeight="1" x14ac:dyDescent="0.35">
      <c r="A26" s="680"/>
      <c r="B26" s="1314"/>
      <c r="C26" s="1315" t="s">
        <v>318</v>
      </c>
      <c r="D26" s="1316"/>
      <c r="E26" s="682"/>
      <c r="F26" s="1317"/>
      <c r="G26" s="1318"/>
      <c r="H26" s="1319"/>
      <c r="I26" s="1318"/>
      <c r="J26" s="1341">
        <f>J25</f>
        <v>7252.5</v>
      </c>
      <c r="K26" s="1320"/>
    </row>
    <row r="27" spans="1:15" s="652" customFormat="1" ht="21.75" customHeight="1" x14ac:dyDescent="0.35"/>
    <row r="28" spans="1:15" x14ac:dyDescent="0.6">
      <c r="A28" s="1117"/>
      <c r="B28" s="1117"/>
      <c r="C28" s="1117"/>
      <c r="D28" s="1117"/>
      <c r="E28" s="1117"/>
      <c r="F28" s="1117"/>
      <c r="G28" s="1117"/>
      <c r="H28" s="1117"/>
      <c r="I28" s="1117"/>
      <c r="J28" s="1117"/>
      <c r="K28" s="1117"/>
    </row>
  </sheetData>
  <phoneticPr fontId="27" type="noConversion"/>
  <pageMargins left="0.25" right="0.25" top="0.75" bottom="0.75" header="0.3" footer="0.3"/>
  <pageSetup paperSize="9" scale="97" orientation="portrait" r:id="rId1"/>
  <headerFooter alignWithMargins="0">
    <oddHeader xml:space="preserve">&amp;Rแบบ ปร.4 แผ่นที่ &amp;P/1 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view="pageBreakPreview" topLeftCell="A10" zoomScale="110" zoomScaleNormal="130" zoomScaleSheetLayoutView="110" workbookViewId="0">
      <selection activeCell="O24" sqref="O24"/>
    </sheetView>
  </sheetViews>
  <sheetFormatPr defaultColWidth="9.125" defaultRowHeight="21" x14ac:dyDescent="0.6"/>
  <cols>
    <col min="1" max="1" width="5.375" style="321" customWidth="1"/>
    <col min="2" max="2" width="14.75" style="321" customWidth="1"/>
    <col min="3" max="3" width="18.75" style="321" customWidth="1"/>
    <col min="4" max="4" width="5.375" style="321" customWidth="1"/>
    <col min="5" max="5" width="6.375" style="321" customWidth="1"/>
    <col min="6" max="6" width="10.625" style="321" customWidth="1"/>
    <col min="7" max="7" width="11.875" style="321" customWidth="1"/>
    <col min="8" max="8" width="11.625" style="321" customWidth="1"/>
    <col min="9" max="9" width="13.375" style="321" customWidth="1"/>
    <col min="10" max="10" width="13.625" style="321" customWidth="1"/>
    <col min="11" max="11" width="8.125" style="321" customWidth="1"/>
    <col min="12" max="16384" width="9.125" style="321"/>
  </cols>
  <sheetData>
    <row r="1" spans="1:12" s="1256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46"/>
    </row>
    <row r="2" spans="1:12" s="1256" customFormat="1" ht="23.25" customHeight="1" x14ac:dyDescent="0.35">
      <c r="A2" s="644" t="s">
        <v>822</v>
      </c>
      <c r="B2" s="645"/>
      <c r="C2" s="646" t="s">
        <v>1800</v>
      </c>
      <c r="D2" s="647"/>
      <c r="E2" s="645"/>
      <c r="F2" s="648"/>
      <c r="G2" s="649"/>
      <c r="H2" s="649"/>
      <c r="I2" s="653"/>
      <c r="J2" s="654"/>
      <c r="K2" s="646"/>
    </row>
    <row r="3" spans="1:12" s="1256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58"/>
      <c r="K3" s="661"/>
    </row>
    <row r="4" spans="1:12" s="1256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0"/>
    </row>
    <row r="5" spans="1:12" s="1256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46"/>
    </row>
    <row r="6" spans="1:12" s="1256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1259" t="s">
        <v>808</v>
      </c>
    </row>
    <row r="7" spans="1:12" s="1256" customFormat="1" ht="21.75" customHeight="1" x14ac:dyDescent="0.35">
      <c r="A7" s="671" t="s">
        <v>985</v>
      </c>
      <c r="B7" s="672" t="s">
        <v>125</v>
      </c>
      <c r="C7" s="673"/>
      <c r="D7" s="1213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2" s="1256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1260"/>
    </row>
    <row r="9" spans="1:12" s="652" customFormat="1" ht="21.75" customHeight="1" x14ac:dyDescent="0.35">
      <c r="A9" s="1298">
        <v>1</v>
      </c>
      <c r="B9" s="1293" t="s">
        <v>1701</v>
      </c>
      <c r="C9" s="1288"/>
      <c r="D9" s="1325">
        <v>20</v>
      </c>
      <c r="E9" s="1342" t="s">
        <v>179</v>
      </c>
      <c r="F9" s="1296">
        <v>2299.0700000000002</v>
      </c>
      <c r="G9" s="1284">
        <f>IF(F9="-","-",D9*F9)</f>
        <v>45981.4</v>
      </c>
      <c r="H9" s="1343" t="s">
        <v>418</v>
      </c>
      <c r="I9" s="1296" t="str">
        <f t="shared" ref="I9:I14" si="0">IF(H9="-","-",H9*D9)</f>
        <v>-</v>
      </c>
      <c r="J9" s="1284">
        <f t="shared" ref="J9:J18" si="1">SUM(G9,I9)</f>
        <v>45981.4</v>
      </c>
      <c r="K9" s="1288"/>
      <c r="L9" s="652" t="s">
        <v>1812</v>
      </c>
    </row>
    <row r="10" spans="1:12" s="652" customFormat="1" ht="21.75" customHeight="1" x14ac:dyDescent="0.35">
      <c r="A10" s="1298">
        <v>2</v>
      </c>
      <c r="B10" s="1336" t="s">
        <v>1702</v>
      </c>
      <c r="D10" s="1325">
        <v>4</v>
      </c>
      <c r="E10" s="1342" t="s">
        <v>179</v>
      </c>
      <c r="F10" s="1296">
        <v>2499.0700000000002</v>
      </c>
      <c r="G10" s="1291">
        <f>IF(F10="-","-",D10*F10)</f>
        <v>9996.2800000000007</v>
      </c>
      <c r="H10" s="1343" t="s">
        <v>418</v>
      </c>
      <c r="I10" s="1296" t="str">
        <f t="shared" si="0"/>
        <v>-</v>
      </c>
      <c r="J10" s="1284">
        <f t="shared" si="1"/>
        <v>9996.2800000000007</v>
      </c>
      <c r="K10" s="1288"/>
      <c r="L10" s="652" t="s">
        <v>1814</v>
      </c>
    </row>
    <row r="11" spans="1:12" s="652" customFormat="1" ht="21.75" customHeight="1" x14ac:dyDescent="0.35">
      <c r="A11" s="1298">
        <v>3</v>
      </c>
      <c r="B11" s="1323" t="s">
        <v>1703</v>
      </c>
      <c r="D11" s="1325">
        <v>1</v>
      </c>
      <c r="E11" s="1342" t="s">
        <v>179</v>
      </c>
      <c r="F11" s="1296">
        <f>F9</f>
        <v>2299.0700000000002</v>
      </c>
      <c r="G11" s="1291">
        <f>IF(F11="-","-",D11*F11)</f>
        <v>2299.0700000000002</v>
      </c>
      <c r="H11" s="1343" t="s">
        <v>418</v>
      </c>
      <c r="I11" s="1296" t="str">
        <f t="shared" si="0"/>
        <v>-</v>
      </c>
      <c r="J11" s="1284">
        <f t="shared" si="1"/>
        <v>2299.0700000000002</v>
      </c>
      <c r="K11" s="1288"/>
      <c r="L11" s="652" t="s">
        <v>1812</v>
      </c>
    </row>
    <row r="12" spans="1:12" s="652" customFormat="1" ht="21.75" customHeight="1" x14ac:dyDescent="0.35">
      <c r="A12" s="1298">
        <v>4</v>
      </c>
      <c r="B12" s="1287" t="s">
        <v>248</v>
      </c>
      <c r="C12" s="1288"/>
      <c r="D12" s="1455">
        <v>0.8</v>
      </c>
      <c r="E12" s="1342" t="s">
        <v>562</v>
      </c>
      <c r="F12" s="1296">
        <v>4000</v>
      </c>
      <c r="G12" s="1291">
        <f>IF(F12="-","-",D12*F12)</f>
        <v>3200</v>
      </c>
      <c r="H12" s="1297">
        <v>450</v>
      </c>
      <c r="I12" s="1291">
        <f t="shared" si="0"/>
        <v>360</v>
      </c>
      <c r="J12" s="1284">
        <f t="shared" si="1"/>
        <v>3560</v>
      </c>
      <c r="K12" s="1288"/>
      <c r="L12" s="652">
        <v>0</v>
      </c>
    </row>
    <row r="13" spans="1:12" s="652" customFormat="1" ht="21.75" customHeight="1" x14ac:dyDescent="0.35">
      <c r="A13" s="1301">
        <v>5</v>
      </c>
      <c r="B13" s="652" t="s">
        <v>249</v>
      </c>
      <c r="C13" s="1288"/>
      <c r="D13" s="1344">
        <v>5</v>
      </c>
      <c r="E13" s="1345" t="s">
        <v>250</v>
      </c>
      <c r="F13" s="1296">
        <v>1000</v>
      </c>
      <c r="G13" s="1297">
        <f>D13*F13</f>
        <v>5000</v>
      </c>
      <c r="H13" s="1343" t="s">
        <v>418</v>
      </c>
      <c r="I13" s="1296" t="str">
        <f t="shared" si="0"/>
        <v>-</v>
      </c>
      <c r="J13" s="1284">
        <f t="shared" si="1"/>
        <v>5000</v>
      </c>
      <c r="K13" s="1288"/>
      <c r="L13" s="652">
        <v>0</v>
      </c>
    </row>
    <row r="14" spans="1:12" s="652" customFormat="1" ht="21.75" customHeight="1" x14ac:dyDescent="0.35">
      <c r="A14" s="1301">
        <v>6</v>
      </c>
      <c r="B14" s="652" t="s">
        <v>251</v>
      </c>
      <c r="D14" s="1346">
        <v>0</v>
      </c>
      <c r="E14" s="670" t="s">
        <v>252</v>
      </c>
      <c r="F14" s="1296">
        <v>27</v>
      </c>
      <c r="G14" s="1297">
        <f>D14*F14</f>
        <v>0</v>
      </c>
      <c r="H14" s="1343" t="s">
        <v>418</v>
      </c>
      <c r="I14" s="1296" t="str">
        <f t="shared" si="0"/>
        <v>-</v>
      </c>
      <c r="J14" s="1284">
        <f t="shared" si="1"/>
        <v>0</v>
      </c>
      <c r="K14" s="1284"/>
    </row>
    <row r="15" spans="1:12" s="652" customFormat="1" ht="21.75" customHeight="1" x14ac:dyDescent="0.35">
      <c r="A15" s="1301">
        <v>7</v>
      </c>
      <c r="B15" s="652" t="s">
        <v>50</v>
      </c>
      <c r="C15" s="1288"/>
      <c r="D15" s="1344">
        <v>100</v>
      </c>
      <c r="E15" s="670" t="s">
        <v>633</v>
      </c>
      <c r="F15" s="1296" t="s">
        <v>418</v>
      </c>
      <c r="G15" s="1296" t="str">
        <f>IF(F15="-","-",D15*F15)</f>
        <v>-</v>
      </c>
      <c r="H15" s="1297">
        <v>1200</v>
      </c>
      <c r="I15" s="1297">
        <f>D15*H15</f>
        <v>120000</v>
      </c>
      <c r="J15" s="1284">
        <f t="shared" si="1"/>
        <v>120000</v>
      </c>
      <c r="K15" s="1288"/>
      <c r="L15" s="652">
        <v>0</v>
      </c>
    </row>
    <row r="16" spans="1:12" s="652" customFormat="1" ht="21.75" customHeight="1" x14ac:dyDescent="0.35">
      <c r="A16" s="1301">
        <v>8</v>
      </c>
      <c r="B16" s="652" t="s">
        <v>1640</v>
      </c>
      <c r="C16" s="1288"/>
      <c r="D16" s="1346">
        <v>1</v>
      </c>
      <c r="E16" s="1342" t="s">
        <v>125</v>
      </c>
      <c r="F16" s="1296" t="s">
        <v>418</v>
      </c>
      <c r="G16" s="1296" t="str">
        <f>IF(F16="-","-",D16*F16)</f>
        <v>-</v>
      </c>
      <c r="H16" s="1297">
        <v>5000</v>
      </c>
      <c r="I16" s="1297">
        <f>D16*H16</f>
        <v>5000</v>
      </c>
      <c r="J16" s="1284">
        <f t="shared" si="1"/>
        <v>5000</v>
      </c>
      <c r="K16" s="1288"/>
      <c r="L16" s="652">
        <v>0</v>
      </c>
    </row>
    <row r="17" spans="1:13" s="652" customFormat="1" ht="21.75" customHeight="1" x14ac:dyDescent="0.35">
      <c r="A17" s="1301">
        <v>9</v>
      </c>
      <c r="B17" s="1323" t="s">
        <v>1641</v>
      </c>
      <c r="D17" s="1346">
        <v>1</v>
      </c>
      <c r="E17" s="1342" t="s">
        <v>125</v>
      </c>
      <c r="F17" s="1296" t="s">
        <v>418</v>
      </c>
      <c r="G17" s="1296" t="str">
        <f>IF(F17="-","-",D17*F17)</f>
        <v>-</v>
      </c>
      <c r="H17" s="1297">
        <v>12000</v>
      </c>
      <c r="I17" s="1297">
        <f>D17*H17</f>
        <v>12000</v>
      </c>
      <c r="J17" s="1284">
        <f t="shared" si="1"/>
        <v>12000</v>
      </c>
      <c r="K17" s="1288"/>
      <c r="L17" s="652">
        <v>0</v>
      </c>
    </row>
    <row r="18" spans="1:13" s="652" customFormat="1" ht="21.75" customHeight="1" x14ac:dyDescent="0.35">
      <c r="A18" s="1301">
        <v>10</v>
      </c>
      <c r="B18" s="1323" t="s">
        <v>51</v>
      </c>
      <c r="D18" s="1452">
        <v>0.4</v>
      </c>
      <c r="E18" s="1342" t="s">
        <v>562</v>
      </c>
      <c r="F18" s="1296">
        <v>2411.21</v>
      </c>
      <c r="G18" s="1297">
        <f t="shared" ref="G18:G23" si="2">D18*F18</f>
        <v>964.48400000000004</v>
      </c>
      <c r="H18" s="1297">
        <v>329</v>
      </c>
      <c r="I18" s="1297">
        <f>D18*H18</f>
        <v>131.6</v>
      </c>
      <c r="J18" s="1284">
        <f t="shared" si="1"/>
        <v>1096.0840000000001</v>
      </c>
      <c r="K18" s="1288"/>
      <c r="L18" s="652" t="s">
        <v>1812</v>
      </c>
    </row>
    <row r="19" spans="1:13" s="652" customFormat="1" ht="21.75" customHeight="1" x14ac:dyDescent="0.35">
      <c r="A19" s="1301">
        <v>11</v>
      </c>
      <c r="B19" s="1287" t="s">
        <v>1710</v>
      </c>
      <c r="C19" s="1288"/>
      <c r="D19" s="1325">
        <v>2</v>
      </c>
      <c r="E19" s="1347" t="s">
        <v>1711</v>
      </c>
      <c r="F19" s="1296">
        <v>285.52</v>
      </c>
      <c r="G19" s="1297">
        <f t="shared" si="2"/>
        <v>571.04</v>
      </c>
      <c r="H19" s="1343" t="s">
        <v>418</v>
      </c>
      <c r="I19" s="1296" t="str">
        <f>IF(H19="-","-",H19*D19)</f>
        <v>-</v>
      </c>
      <c r="J19" s="1284">
        <f>SUM(G19,I19)</f>
        <v>571.04</v>
      </c>
      <c r="K19" s="1288"/>
      <c r="L19" s="652" t="s">
        <v>1815</v>
      </c>
    </row>
    <row r="20" spans="1:13" s="652" customFormat="1" ht="21.75" customHeight="1" x14ac:dyDescent="0.35">
      <c r="A20" s="1286">
        <v>12</v>
      </c>
      <c r="B20" s="652" t="s">
        <v>52</v>
      </c>
      <c r="C20" s="670"/>
      <c r="D20" s="1325">
        <v>1</v>
      </c>
      <c r="E20" s="1342" t="s">
        <v>53</v>
      </c>
      <c r="F20" s="1296">
        <v>250</v>
      </c>
      <c r="G20" s="1297">
        <f t="shared" si="2"/>
        <v>250</v>
      </c>
      <c r="H20" s="1343" t="s">
        <v>418</v>
      </c>
      <c r="I20" s="1296" t="str">
        <f>IF(H20="-","-",H20*D20)</f>
        <v>-</v>
      </c>
      <c r="J20" s="1284">
        <f>SUM(G20,I20)</f>
        <v>250</v>
      </c>
      <c r="K20" s="1288"/>
      <c r="L20" s="652">
        <v>0</v>
      </c>
    </row>
    <row r="21" spans="1:13" s="652" customFormat="1" ht="21.75" customHeight="1" x14ac:dyDescent="0.35">
      <c r="A21" s="1286">
        <v>13</v>
      </c>
      <c r="B21" s="652" t="s">
        <v>104</v>
      </c>
      <c r="C21" s="1288"/>
      <c r="D21" s="1234">
        <v>0.05</v>
      </c>
      <c r="E21" s="670" t="s">
        <v>562</v>
      </c>
      <c r="F21" s="1326">
        <f>F18</f>
        <v>2411.21</v>
      </c>
      <c r="G21" s="1297">
        <f t="shared" si="2"/>
        <v>120.5605</v>
      </c>
      <c r="H21" s="1296">
        <v>329</v>
      </c>
      <c r="I21" s="1297">
        <f>D21*H21</f>
        <v>16.45</v>
      </c>
      <c r="J21" s="1284">
        <f>SUM(G21,I21)</f>
        <v>137.01050000000001</v>
      </c>
      <c r="K21" s="1288"/>
      <c r="L21" s="652" t="s">
        <v>1812</v>
      </c>
    </row>
    <row r="22" spans="1:13" s="652" customFormat="1" ht="21.75" customHeight="1" x14ac:dyDescent="0.35">
      <c r="A22" s="1286">
        <v>14</v>
      </c>
      <c r="B22" s="1336" t="s">
        <v>839</v>
      </c>
      <c r="C22" s="1288"/>
      <c r="D22" s="1344">
        <v>2</v>
      </c>
      <c r="E22" s="670" t="s">
        <v>562</v>
      </c>
      <c r="F22" s="1296">
        <v>1000</v>
      </c>
      <c r="G22" s="1297">
        <f t="shared" si="2"/>
        <v>2000</v>
      </c>
      <c r="H22" s="1343" t="s">
        <v>418</v>
      </c>
      <c r="I22" s="1296" t="str">
        <f>IF(H22="-","-",H22*D22)</f>
        <v>-</v>
      </c>
      <c r="J22" s="1284">
        <f>SUM(G22,I22)</f>
        <v>2000</v>
      </c>
      <c r="K22" s="1288"/>
      <c r="L22" s="652">
        <v>0</v>
      </c>
    </row>
    <row r="23" spans="1:13" s="652" customFormat="1" ht="21.75" customHeight="1" x14ac:dyDescent="0.35">
      <c r="A23" s="1286">
        <v>14</v>
      </c>
      <c r="B23" s="1323" t="s">
        <v>1719</v>
      </c>
      <c r="C23" s="1288"/>
      <c r="D23" s="1234">
        <v>8.8800000000000008</v>
      </c>
      <c r="E23" s="670" t="s">
        <v>563</v>
      </c>
      <c r="F23" s="1296">
        <v>23.13</v>
      </c>
      <c r="G23" s="1297">
        <f t="shared" si="2"/>
        <v>205.39440000000002</v>
      </c>
      <c r="H23" s="1343">
        <v>4.9000000000000004</v>
      </c>
      <c r="I23" s="1296">
        <f>IF(H23="-","-",H23*D23)</f>
        <v>43.512000000000008</v>
      </c>
      <c r="J23" s="1284">
        <f>SUM(G23,I23)-0.01</f>
        <v>248.89640000000003</v>
      </c>
      <c r="K23" s="1288"/>
      <c r="L23" s="652" t="s">
        <v>1812</v>
      </c>
    </row>
    <row r="24" spans="1:13" s="1256" customFormat="1" ht="21.75" customHeight="1" x14ac:dyDescent="0.35">
      <c r="A24" s="1304"/>
      <c r="B24" s="1305"/>
      <c r="C24" s="1306" t="s">
        <v>373</v>
      </c>
      <c r="D24" s="1348"/>
      <c r="E24" s="1306"/>
      <c r="F24" s="1309"/>
      <c r="G24" s="1310">
        <f>SUM(G9:G23)-0.01</f>
        <v>70588.218900000007</v>
      </c>
      <c r="H24" s="1311"/>
      <c r="I24" s="1310">
        <f>SUM(I9:I23)</f>
        <v>137551.56200000001</v>
      </c>
      <c r="J24" s="1312">
        <f>SUM(J9:J23)</f>
        <v>208139.78090000001</v>
      </c>
      <c r="K24" s="1324"/>
    </row>
    <row r="25" spans="1:13" s="1256" customFormat="1" ht="21.75" customHeight="1" x14ac:dyDescent="0.35">
      <c r="A25" s="680"/>
      <c r="B25" s="1314"/>
      <c r="C25" s="1315" t="s">
        <v>405</v>
      </c>
      <c r="D25" s="1316"/>
      <c r="E25" s="682"/>
      <c r="F25" s="1317"/>
      <c r="G25" s="1318"/>
      <c r="H25" s="1319"/>
      <c r="I25" s="1318"/>
      <c r="J25" s="1318">
        <f>J24</f>
        <v>208139.78090000001</v>
      </c>
      <c r="K25" s="1260"/>
      <c r="M25" s="1349">
        <f>J25/D15</f>
        <v>2081.3978090000001</v>
      </c>
    </row>
    <row r="26" spans="1:13" s="1256" customFormat="1" ht="21.75" customHeight="1" x14ac:dyDescent="0.35"/>
    <row r="27" spans="1:13" s="1256" customFormat="1" ht="21.75" customHeight="1" x14ac:dyDescent="0.35"/>
    <row r="28" spans="1:13" s="1256" customFormat="1" ht="21.75" customHeight="1" x14ac:dyDescent="0.35"/>
    <row r="29" spans="1:13" s="1256" customFormat="1" ht="21.75" customHeight="1" x14ac:dyDescent="0.35"/>
    <row r="30" spans="1:13" ht="21.75" customHeight="1" x14ac:dyDescent="0.6"/>
    <row r="31" spans="1:13" ht="21.75" customHeight="1" x14ac:dyDescent="0.6"/>
    <row r="32" spans="1:13" ht="21.75" customHeight="1" x14ac:dyDescent="0.6"/>
    <row r="33" ht="21.75" customHeight="1" x14ac:dyDescent="0.6"/>
    <row r="34" ht="21.75" customHeight="1" x14ac:dyDescent="0.6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1" orientation="portrait" r:id="rId1"/>
  <headerFooter alignWithMargins="0">
    <oddHeader xml:space="preserve">&amp;Rแบบ ปร.4 แผ่นที่ &amp;P/1 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view="pageBreakPreview" zoomScale="110" zoomScaleNormal="130" zoomScaleSheetLayoutView="110" workbookViewId="0">
      <selection activeCell="L30" sqref="L30"/>
    </sheetView>
  </sheetViews>
  <sheetFormatPr defaultColWidth="9.125" defaultRowHeight="21" x14ac:dyDescent="0.6"/>
  <cols>
    <col min="1" max="1" width="5.375" style="272" customWidth="1"/>
    <col min="2" max="2" width="14.75" style="272" customWidth="1"/>
    <col min="3" max="3" width="17.875" style="272" customWidth="1"/>
    <col min="4" max="4" width="6.75" style="272" customWidth="1"/>
    <col min="5" max="5" width="5.75" style="301" customWidth="1"/>
    <col min="6" max="6" width="11.375" style="272" customWidth="1"/>
    <col min="7" max="7" width="11.5" style="272" customWidth="1"/>
    <col min="8" max="8" width="8.75" style="272" customWidth="1"/>
    <col min="9" max="9" width="10.25" style="272" customWidth="1"/>
    <col min="10" max="10" width="11.25" style="272" customWidth="1"/>
    <col min="11" max="11" width="8.125" style="272" customWidth="1"/>
    <col min="12" max="16384" width="9.125" style="272"/>
  </cols>
  <sheetData>
    <row r="1" spans="1:12" s="652" customFormat="1" ht="23.25" customHeight="1" x14ac:dyDescent="0.35">
      <c r="A1" s="1217" t="s">
        <v>806</v>
      </c>
      <c r="B1" s="1218"/>
      <c r="C1" s="651" t="str">
        <f>ปร.5!E6</f>
        <v xml:space="preserve">ก่อสร้างระบบประปาหมู่บ้าน (ปากน้ำ 3) </v>
      </c>
      <c r="D1" s="1219"/>
      <c r="E1" s="1218"/>
      <c r="F1" s="1220"/>
      <c r="G1" s="1221"/>
      <c r="H1" s="1221"/>
      <c r="I1" s="1220"/>
      <c r="J1" s="1222"/>
      <c r="K1" s="651"/>
    </row>
    <row r="2" spans="1:12" s="652" customFormat="1" ht="23.25" customHeight="1" x14ac:dyDescent="0.35">
      <c r="A2" s="1217" t="s">
        <v>822</v>
      </c>
      <c r="B2" s="1218"/>
      <c r="C2" s="651" t="s">
        <v>958</v>
      </c>
      <c r="D2" s="1219"/>
      <c r="E2" s="1218"/>
      <c r="F2" s="1220"/>
      <c r="G2" s="1221"/>
      <c r="H2" s="1221"/>
      <c r="I2" s="1223"/>
      <c r="J2" s="1224"/>
      <c r="K2" s="651"/>
    </row>
    <row r="3" spans="1:12" s="652" customFormat="1" ht="23.25" customHeight="1" x14ac:dyDescent="0.35">
      <c r="A3" s="1217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1218"/>
      <c r="C3" s="1225"/>
      <c r="D3" s="1226"/>
      <c r="E3" s="1218"/>
      <c r="F3" s="1218"/>
      <c r="G3" s="1218"/>
      <c r="H3" s="1218"/>
      <c r="I3" s="1227"/>
      <c r="J3" s="1228"/>
      <c r="K3" s="1229"/>
    </row>
    <row r="4" spans="1:12" s="652" customFormat="1" ht="23.25" customHeight="1" x14ac:dyDescent="0.35">
      <c r="A4" s="1217" t="str">
        <f>ปร.5!B9</f>
        <v>เจ้าของโครงการ เทศบาลตำบลทุ่งหลวง</v>
      </c>
      <c r="B4" s="1218"/>
      <c r="C4" s="662"/>
      <c r="D4" s="1226"/>
      <c r="E4" s="1218"/>
      <c r="F4" s="1227"/>
      <c r="G4" s="1229"/>
      <c r="H4" s="1229"/>
      <c r="I4" s="1227"/>
      <c r="J4" s="1230"/>
      <c r="K4" s="662"/>
    </row>
    <row r="5" spans="1:12" s="652" customFormat="1" ht="23.25" customHeight="1" x14ac:dyDescent="0.35">
      <c r="A5" s="1217">
        <f>ปร.5!B10</f>
        <v>0</v>
      </c>
      <c r="B5" s="1218"/>
      <c r="C5" s="1225"/>
      <c r="D5" s="1225"/>
      <c r="E5" s="1225"/>
      <c r="F5" s="1226"/>
      <c r="G5" s="1218"/>
      <c r="H5" s="1227" t="str">
        <f>ปร.5!J10</f>
        <v>เมื่อวันที่  1 ธันวาคม  2568</v>
      </c>
      <c r="I5" s="1231"/>
      <c r="J5" s="1222"/>
      <c r="K5" s="651"/>
    </row>
    <row r="6" spans="1:12" s="652" customFormat="1" ht="23.25" customHeight="1" x14ac:dyDescent="0.35">
      <c r="A6" s="1232"/>
      <c r="B6" s="1233"/>
      <c r="C6" s="1233"/>
      <c r="D6" s="1234"/>
      <c r="E6" s="1233"/>
      <c r="F6" s="1235"/>
      <c r="G6" s="1236"/>
      <c r="H6" s="1236"/>
      <c r="I6" s="1235"/>
      <c r="J6" s="1237"/>
      <c r="K6" s="670" t="s">
        <v>808</v>
      </c>
    </row>
    <row r="7" spans="1:12" s="652" customFormat="1" ht="21.75" customHeight="1" x14ac:dyDescent="0.35">
      <c r="A7" s="1238" t="s">
        <v>985</v>
      </c>
      <c r="B7" s="1239" t="s">
        <v>125</v>
      </c>
      <c r="C7" s="1240"/>
      <c r="D7" s="1241" t="s">
        <v>400</v>
      </c>
      <c r="E7" s="1242"/>
      <c r="F7" s="1243" t="s">
        <v>401</v>
      </c>
      <c r="G7" s="1244"/>
      <c r="H7" s="1243" t="s">
        <v>491</v>
      </c>
      <c r="I7" s="1245"/>
      <c r="J7" s="1246" t="s">
        <v>403</v>
      </c>
      <c r="K7" s="1238" t="s">
        <v>761</v>
      </c>
    </row>
    <row r="8" spans="1:12" s="652" customFormat="1" ht="21.75" customHeight="1" x14ac:dyDescent="0.35">
      <c r="A8" s="1247" t="s">
        <v>984</v>
      </c>
      <c r="B8" s="1248"/>
      <c r="C8" s="1249"/>
      <c r="D8" s="1250"/>
      <c r="E8" s="1251"/>
      <c r="F8" s="1252" t="s">
        <v>404</v>
      </c>
      <c r="G8" s="1253" t="s">
        <v>381</v>
      </c>
      <c r="H8" s="1252" t="s">
        <v>404</v>
      </c>
      <c r="I8" s="1254" t="s">
        <v>381</v>
      </c>
      <c r="J8" s="1247" t="s">
        <v>491</v>
      </c>
      <c r="K8" s="688"/>
    </row>
    <row r="9" spans="1:12" s="652" customFormat="1" ht="21.75" customHeight="1" x14ac:dyDescent="0.35">
      <c r="A9" s="1286"/>
      <c r="B9" s="1350" t="s">
        <v>406</v>
      </c>
      <c r="C9" s="1351"/>
      <c r="D9" s="670"/>
      <c r="E9" s="1232"/>
      <c r="F9" s="1296"/>
      <c r="G9" s="1296"/>
      <c r="H9" s="1296"/>
      <c r="I9" s="1296"/>
      <c r="J9" s="1288"/>
      <c r="K9" s="1288"/>
    </row>
    <row r="10" spans="1:12" s="652" customFormat="1" ht="21.75" customHeight="1" x14ac:dyDescent="0.35">
      <c r="A10" s="1286">
        <v>1.1000000000000001</v>
      </c>
      <c r="B10" s="652" t="s">
        <v>1755</v>
      </c>
      <c r="C10" s="1288"/>
      <c r="D10" s="1352">
        <v>0.54</v>
      </c>
      <c r="E10" s="1232" t="s">
        <v>562</v>
      </c>
      <c r="F10" s="1296"/>
      <c r="G10" s="1296">
        <f>IF(F10="-","-",D10*F10)</f>
        <v>0</v>
      </c>
      <c r="H10" s="1296">
        <v>181</v>
      </c>
      <c r="I10" s="1296">
        <f>IF(H10="-","-",H10*D10)</f>
        <v>97.740000000000009</v>
      </c>
      <c r="J10" s="1297">
        <f>SUM(G10,I10)</f>
        <v>97.740000000000009</v>
      </c>
      <c r="K10" s="1288"/>
    </row>
    <row r="11" spans="1:12" s="652" customFormat="1" ht="21.75" customHeight="1" x14ac:dyDescent="0.35">
      <c r="A11" s="1286"/>
      <c r="B11" s="1350" t="s">
        <v>407</v>
      </c>
      <c r="C11" s="1288"/>
      <c r="D11" s="670"/>
      <c r="E11" s="1232"/>
      <c r="F11" s="1296"/>
      <c r="G11" s="1296"/>
      <c r="H11" s="1296"/>
      <c r="I11" s="1296"/>
      <c r="J11" s="1288"/>
      <c r="K11" s="1288"/>
    </row>
    <row r="12" spans="1:12" s="652" customFormat="1" ht="21.75" customHeight="1" x14ac:dyDescent="0.35">
      <c r="A12" s="1286">
        <v>2.1</v>
      </c>
      <c r="B12" s="1293" t="s">
        <v>437</v>
      </c>
      <c r="C12" s="1288"/>
      <c r="D12" s="1289">
        <v>1.97</v>
      </c>
      <c r="E12" s="1290" t="s">
        <v>636</v>
      </c>
      <c r="F12" s="1343">
        <v>600</v>
      </c>
      <c r="G12" s="1343">
        <f>IF(F12="-","-",D12*F12)</f>
        <v>1182</v>
      </c>
      <c r="H12" s="1343">
        <v>163</v>
      </c>
      <c r="I12" s="1343">
        <f>IF(H12="-","-",H12*D12)</f>
        <v>321.11</v>
      </c>
      <c r="J12" s="1297">
        <f>SUM(G12,I12)</f>
        <v>1503.1100000000001</v>
      </c>
      <c r="K12" s="1288"/>
      <c r="L12" s="652" t="s">
        <v>1812</v>
      </c>
    </row>
    <row r="13" spans="1:12" s="652" customFormat="1" ht="21.75" customHeight="1" x14ac:dyDescent="0.35">
      <c r="A13" s="1286">
        <v>2.2000000000000002</v>
      </c>
      <c r="B13" s="652" t="s">
        <v>302</v>
      </c>
      <c r="C13" s="1288"/>
      <c r="D13" s="670">
        <v>1.5</v>
      </c>
      <c r="E13" s="1232" t="s">
        <v>563</v>
      </c>
      <c r="F13" s="1296">
        <v>46.73</v>
      </c>
      <c r="G13" s="1296">
        <f>IF(F13="-","-",D13*F13)</f>
        <v>70.094999999999999</v>
      </c>
      <c r="H13" s="1296" t="s">
        <v>418</v>
      </c>
      <c r="I13" s="1296" t="str">
        <f>IF(H13="-","-",H13*D13)</f>
        <v>-</v>
      </c>
      <c r="J13" s="1297">
        <f>SUM(G13,I13)</f>
        <v>70.094999999999999</v>
      </c>
      <c r="K13" s="1288"/>
      <c r="L13" s="652" t="s">
        <v>1812</v>
      </c>
    </row>
    <row r="14" spans="1:12" s="652" customFormat="1" ht="21.75" customHeight="1" x14ac:dyDescent="0.35">
      <c r="A14" s="1286"/>
      <c r="B14" s="1350" t="s">
        <v>408</v>
      </c>
      <c r="C14" s="1351"/>
      <c r="D14" s="670"/>
      <c r="E14" s="1232"/>
      <c r="F14" s="1296"/>
      <c r="G14" s="1296"/>
      <c r="H14" s="1296"/>
      <c r="I14" s="1296"/>
      <c r="J14" s="1288"/>
      <c r="K14" s="1288"/>
    </row>
    <row r="15" spans="1:12" s="652" customFormat="1" ht="21.75" customHeight="1" x14ac:dyDescent="0.35">
      <c r="A15" s="1286">
        <v>3.1</v>
      </c>
      <c r="B15" s="1353" t="s">
        <v>1720</v>
      </c>
      <c r="C15" s="1288"/>
      <c r="D15" s="670">
        <v>0.45</v>
      </c>
      <c r="E15" s="1232" t="s">
        <v>562</v>
      </c>
      <c r="F15" s="1296">
        <v>2411.21</v>
      </c>
      <c r="G15" s="1296">
        <f>IF(F15="-","-",D15*F15)</f>
        <v>1085.0445</v>
      </c>
      <c r="H15" s="1296">
        <v>329</v>
      </c>
      <c r="I15" s="1296">
        <f>IF(H15="-","-",H15*D15)</f>
        <v>148.05000000000001</v>
      </c>
      <c r="J15" s="1297">
        <f>SUM(G15,I15)</f>
        <v>1233.0944999999999</v>
      </c>
      <c r="K15" s="1288"/>
      <c r="L15" s="652" t="s">
        <v>1812</v>
      </c>
    </row>
    <row r="16" spans="1:12" s="652" customFormat="1" ht="21.75" customHeight="1" x14ac:dyDescent="0.35">
      <c r="A16" s="1286"/>
      <c r="B16" s="1350" t="s">
        <v>409</v>
      </c>
      <c r="C16" s="1351"/>
      <c r="D16" s="670"/>
      <c r="E16" s="1232"/>
      <c r="F16" s="1296"/>
      <c r="G16" s="1296"/>
      <c r="H16" s="1296"/>
      <c r="I16" s="1296"/>
      <c r="J16" s="1288"/>
      <c r="K16" s="1288"/>
    </row>
    <row r="17" spans="1:12" s="652" customFormat="1" ht="21.75" customHeight="1" x14ac:dyDescent="0.35">
      <c r="A17" s="1286">
        <v>4.0999999999999996</v>
      </c>
      <c r="B17" s="1354" t="s">
        <v>300</v>
      </c>
      <c r="C17" s="1288"/>
      <c r="D17" s="1355">
        <v>3.4000000000000002E-2</v>
      </c>
      <c r="E17" s="1290" t="s">
        <v>1680</v>
      </c>
      <c r="F17" s="1356">
        <v>23.13</v>
      </c>
      <c r="G17" s="1343">
        <f>IF(F17="-","-",D17*F17)</f>
        <v>0.78642000000000001</v>
      </c>
      <c r="H17" s="1343">
        <v>4.9000000000000004</v>
      </c>
      <c r="I17" s="1343">
        <f>IF(H17="-","-",H17*D17)</f>
        <v>0.16660000000000003</v>
      </c>
      <c r="J17" s="1297">
        <f>SUM(G17,I17)+0.01</f>
        <v>0.96301999999999999</v>
      </c>
      <c r="K17" s="1288"/>
      <c r="L17" s="652" t="s">
        <v>1812</v>
      </c>
    </row>
    <row r="18" spans="1:12" s="652" customFormat="1" ht="21.75" customHeight="1" x14ac:dyDescent="0.35">
      <c r="A18" s="1286">
        <v>4.2</v>
      </c>
      <c r="B18" s="1287" t="s">
        <v>303</v>
      </c>
      <c r="C18" s="1288"/>
      <c r="D18" s="1289">
        <v>0.6</v>
      </c>
      <c r="E18" s="1290" t="s">
        <v>563</v>
      </c>
      <c r="F18" s="1343">
        <v>37.58</v>
      </c>
      <c r="G18" s="1343">
        <f>IF(F18="-","-",D18*F18)</f>
        <v>22.547999999999998</v>
      </c>
      <c r="H18" s="1343" t="s">
        <v>418</v>
      </c>
      <c r="I18" s="1343" t="str">
        <f>IF(H18="-","-",H18*D18)</f>
        <v>-</v>
      </c>
      <c r="J18" s="1297">
        <f>SUM(G18,I18)</f>
        <v>22.547999999999998</v>
      </c>
      <c r="K18" s="1288"/>
      <c r="L18" s="652" t="s">
        <v>1812</v>
      </c>
    </row>
    <row r="19" spans="1:12" s="652" customFormat="1" ht="21.75" customHeight="1" x14ac:dyDescent="0.35">
      <c r="A19" s="1286"/>
      <c r="B19" s="652" t="s">
        <v>83</v>
      </c>
      <c r="C19" s="1342"/>
      <c r="D19" s="670"/>
      <c r="E19" s="1232"/>
      <c r="F19" s="1296"/>
      <c r="G19" s="1296"/>
      <c r="H19" s="1296"/>
      <c r="I19" s="1296"/>
      <c r="J19" s="1284"/>
      <c r="K19" s="1288"/>
    </row>
    <row r="20" spans="1:12" s="652" customFormat="1" ht="21.75" customHeight="1" x14ac:dyDescent="0.35">
      <c r="A20" s="1286">
        <v>5.0999999999999996</v>
      </c>
      <c r="B20" s="652" t="s">
        <v>1704</v>
      </c>
      <c r="C20" s="1288"/>
      <c r="D20" s="670">
        <v>1</v>
      </c>
      <c r="E20" s="1232" t="s">
        <v>553</v>
      </c>
      <c r="F20" s="1357">
        <v>45000</v>
      </c>
      <c r="G20" s="1357">
        <f>IF(F20="-","-",D20*F20)</f>
        <v>45000</v>
      </c>
      <c r="H20" s="1357"/>
      <c r="I20" s="1357">
        <f>IF(H20="-","-",H20*D20)</f>
        <v>0</v>
      </c>
      <c r="J20" s="1358">
        <f>SUM(G20,I20)</f>
        <v>45000</v>
      </c>
      <c r="K20" s="1359" t="s">
        <v>1705</v>
      </c>
      <c r="L20" s="652">
        <v>0</v>
      </c>
    </row>
    <row r="21" spans="1:12" s="652" customFormat="1" ht="21.75" customHeight="1" x14ac:dyDescent="0.35">
      <c r="A21" s="1286"/>
      <c r="B21" s="652" t="s">
        <v>1706</v>
      </c>
      <c r="C21" s="1288"/>
      <c r="D21" s="670"/>
      <c r="E21" s="1232"/>
      <c r="F21" s="1296"/>
      <c r="G21" s="1296"/>
      <c r="H21" s="1296"/>
      <c r="I21" s="1296"/>
      <c r="J21" s="1284"/>
      <c r="K21" s="1359" t="s">
        <v>1707</v>
      </c>
    </row>
    <row r="22" spans="1:12" s="652" customFormat="1" ht="21.75" customHeight="1" x14ac:dyDescent="0.35">
      <c r="A22" s="1286"/>
      <c r="B22" s="1323" t="s">
        <v>1764</v>
      </c>
      <c r="C22" s="1288"/>
      <c r="D22" s="670"/>
      <c r="E22" s="1232"/>
      <c r="F22" s="1296"/>
      <c r="G22" s="1296"/>
      <c r="H22" s="1296"/>
      <c r="I22" s="1296"/>
      <c r="J22" s="1284"/>
      <c r="K22" s="1288"/>
    </row>
    <row r="23" spans="1:12" s="652" customFormat="1" ht="19.2" customHeight="1" x14ac:dyDescent="0.35">
      <c r="A23" s="1286"/>
      <c r="B23" s="1323" t="s">
        <v>1765</v>
      </c>
      <c r="C23" s="1288"/>
      <c r="D23" s="670">
        <v>1</v>
      </c>
      <c r="E23" s="1232" t="s">
        <v>179</v>
      </c>
      <c r="F23" s="1296">
        <v>929.91</v>
      </c>
      <c r="G23" s="1296">
        <f>IF(F23="-","-",D23*F23)</f>
        <v>929.91</v>
      </c>
      <c r="H23" s="1296">
        <v>138</v>
      </c>
      <c r="I23" s="1296">
        <f>IF(H23="-","-",H23*D23)</f>
        <v>138</v>
      </c>
      <c r="J23" s="1297">
        <f t="shared" ref="J23" si="0">SUM(G23,I23)</f>
        <v>1067.9099999999999</v>
      </c>
      <c r="K23" s="1285"/>
      <c r="L23" s="652" t="s">
        <v>1813</v>
      </c>
    </row>
    <row r="24" spans="1:12" s="652" customFormat="1" ht="19.2" customHeight="1" x14ac:dyDescent="0.35">
      <c r="A24" s="1286"/>
      <c r="B24" s="1323" t="s">
        <v>1766</v>
      </c>
      <c r="C24" s="1288"/>
      <c r="D24" s="670"/>
      <c r="E24" s="1232" t="s">
        <v>719</v>
      </c>
      <c r="F24" s="1296">
        <v>150</v>
      </c>
      <c r="G24" s="1296">
        <f>IF(F24="-","-",D24*F24)</f>
        <v>0</v>
      </c>
      <c r="H24" s="1296"/>
      <c r="I24" s="1296"/>
      <c r="J24" s="1297">
        <f t="shared" ref="J24:J30" si="1">SUM(G24,I24)</f>
        <v>0</v>
      </c>
      <c r="K24" s="1285"/>
    </row>
    <row r="25" spans="1:12" s="652" customFormat="1" ht="19.2" customHeight="1" x14ac:dyDescent="0.35">
      <c r="A25" s="1286"/>
      <c r="B25" s="1323" t="s">
        <v>1767</v>
      </c>
      <c r="C25" s="1288"/>
      <c r="D25" s="670">
        <v>6</v>
      </c>
      <c r="E25" s="1232" t="s">
        <v>719</v>
      </c>
      <c r="F25" s="1296">
        <v>145</v>
      </c>
      <c r="G25" s="1296">
        <f t="shared" ref="G25:G30" si="2">IF(F25="-","-",D25*F25)</f>
        <v>870</v>
      </c>
      <c r="H25" s="1296"/>
      <c r="I25" s="1296"/>
      <c r="J25" s="1297">
        <f t="shared" si="1"/>
        <v>870</v>
      </c>
      <c r="K25" s="1285"/>
      <c r="L25" s="652">
        <v>0</v>
      </c>
    </row>
    <row r="26" spans="1:12" s="652" customFormat="1" ht="19.2" customHeight="1" x14ac:dyDescent="0.35">
      <c r="A26" s="1286"/>
      <c r="B26" s="1323" t="s">
        <v>1768</v>
      </c>
      <c r="C26" s="1288"/>
      <c r="D26" s="670">
        <v>5</v>
      </c>
      <c r="E26" s="1232" t="s">
        <v>553</v>
      </c>
      <c r="F26" s="1296">
        <v>1500</v>
      </c>
      <c r="G26" s="1296">
        <f t="shared" si="2"/>
        <v>7500</v>
      </c>
      <c r="H26" s="1296">
        <v>513</v>
      </c>
      <c r="I26" s="1296">
        <f t="shared" ref="I26" si="3">IF(H26="-","-",H26*D26)</f>
        <v>2565</v>
      </c>
      <c r="J26" s="1297">
        <f t="shared" si="1"/>
        <v>10065</v>
      </c>
      <c r="K26" s="1285"/>
      <c r="L26" s="652">
        <v>0</v>
      </c>
    </row>
    <row r="27" spans="1:12" s="652" customFormat="1" ht="19.2" customHeight="1" x14ac:dyDescent="0.35">
      <c r="A27" s="1286"/>
      <c r="B27" s="1323" t="s">
        <v>1769</v>
      </c>
      <c r="C27" s="1288"/>
      <c r="D27" s="670">
        <v>3</v>
      </c>
      <c r="E27" s="1232" t="s">
        <v>719</v>
      </c>
      <c r="F27" s="1296">
        <v>180</v>
      </c>
      <c r="G27" s="1296">
        <f t="shared" si="2"/>
        <v>540</v>
      </c>
      <c r="H27" s="1296"/>
      <c r="I27" s="1296"/>
      <c r="J27" s="1297">
        <f t="shared" si="1"/>
        <v>540</v>
      </c>
      <c r="K27" s="1285"/>
      <c r="L27" s="652">
        <v>0</v>
      </c>
    </row>
    <row r="28" spans="1:12" s="652" customFormat="1" ht="19.2" customHeight="1" x14ac:dyDescent="0.35">
      <c r="A28" s="1286"/>
      <c r="B28" s="1323" t="s">
        <v>1770</v>
      </c>
      <c r="C28" s="1288"/>
      <c r="D28" s="670">
        <v>11</v>
      </c>
      <c r="E28" s="1232" t="s">
        <v>719</v>
      </c>
      <c r="F28" s="1296">
        <v>50</v>
      </c>
      <c r="G28" s="1296">
        <f t="shared" si="2"/>
        <v>550</v>
      </c>
      <c r="H28" s="1296"/>
      <c r="I28" s="1296"/>
      <c r="J28" s="1297">
        <f t="shared" si="1"/>
        <v>550</v>
      </c>
      <c r="K28" s="1285"/>
      <c r="L28" s="652">
        <v>0</v>
      </c>
    </row>
    <row r="29" spans="1:12" s="652" customFormat="1" ht="19.2" customHeight="1" x14ac:dyDescent="0.35">
      <c r="A29" s="1286"/>
      <c r="B29" s="1323" t="s">
        <v>1771</v>
      </c>
      <c r="C29" s="1288"/>
      <c r="D29" s="670">
        <v>4</v>
      </c>
      <c r="E29" s="1232" t="s">
        <v>719</v>
      </c>
      <c r="F29" s="1296">
        <v>200</v>
      </c>
      <c r="G29" s="1296">
        <f t="shared" si="2"/>
        <v>800</v>
      </c>
      <c r="H29" s="1296"/>
      <c r="I29" s="1296"/>
      <c r="J29" s="1297">
        <f t="shared" si="1"/>
        <v>800</v>
      </c>
      <c r="K29" s="1285"/>
      <c r="L29" s="652">
        <v>0</v>
      </c>
    </row>
    <row r="30" spans="1:12" s="652" customFormat="1" ht="19.2" customHeight="1" x14ac:dyDescent="0.35">
      <c r="A30" s="1286"/>
      <c r="B30" s="1323" t="s">
        <v>1750</v>
      </c>
      <c r="C30" s="1288"/>
      <c r="D30" s="670">
        <v>1</v>
      </c>
      <c r="E30" s="1232" t="s">
        <v>747</v>
      </c>
      <c r="F30" s="1296">
        <v>300</v>
      </c>
      <c r="G30" s="1296">
        <f t="shared" si="2"/>
        <v>300</v>
      </c>
      <c r="H30" s="1296"/>
      <c r="I30" s="1296"/>
      <c r="J30" s="1297">
        <f t="shared" si="1"/>
        <v>300</v>
      </c>
      <c r="K30" s="1285"/>
    </row>
    <row r="31" spans="1:12" s="652" customFormat="1" ht="21.75" customHeight="1" x14ac:dyDescent="0.35">
      <c r="A31" s="1360"/>
      <c r="B31" s="1361"/>
      <c r="C31" s="1362" t="s">
        <v>373</v>
      </c>
      <c r="D31" s="1363"/>
      <c r="E31" s="1364"/>
      <c r="F31" s="1365"/>
      <c r="G31" s="1366">
        <f>SUM(G10:G30)+0.01</f>
        <v>58850.393920000002</v>
      </c>
      <c r="H31" s="1367"/>
      <c r="I31" s="1366">
        <f>SUM(I10:I29)</f>
        <v>3270.0666000000001</v>
      </c>
      <c r="J31" s="1368">
        <f>SUM(J10:J30)</f>
        <v>62120.460519999993</v>
      </c>
      <c r="K31" s="1313"/>
    </row>
    <row r="32" spans="1:12" s="652" customFormat="1" ht="21.75" customHeight="1" x14ac:dyDescent="0.35">
      <c r="A32" s="1247"/>
      <c r="B32" s="1369"/>
      <c r="C32" s="1370" t="s">
        <v>405</v>
      </c>
      <c r="D32" s="1371"/>
      <c r="E32" s="1249"/>
      <c r="F32" s="1372"/>
      <c r="G32" s="1373"/>
      <c r="H32" s="1374"/>
      <c r="I32" s="1372"/>
      <c r="J32" s="1375">
        <f>J31</f>
        <v>62120.460519999993</v>
      </c>
      <c r="K32" s="1320"/>
    </row>
    <row r="33" spans="5:14" s="652" customFormat="1" ht="21.75" customHeight="1" x14ac:dyDescent="0.35">
      <c r="E33" s="690"/>
    </row>
    <row r="34" spans="5:14" ht="21.75" customHeight="1" x14ac:dyDescent="0.6">
      <c r="G34" s="321"/>
      <c r="H34" s="321"/>
      <c r="I34" s="321"/>
      <c r="J34" s="321"/>
      <c r="K34" s="321"/>
      <c r="L34" s="321"/>
      <c r="M34" s="321"/>
      <c r="N34" s="321"/>
    </row>
    <row r="35" spans="5:14" ht="21.75" customHeight="1" x14ac:dyDescent="0.6"/>
    <row r="36" spans="5:14" ht="21.75" customHeight="1" x14ac:dyDescent="0.6"/>
    <row r="37" spans="5:14" ht="21.75" customHeight="1" x14ac:dyDescent="0.6"/>
    <row r="38" spans="5:14" ht="21.75" customHeight="1" x14ac:dyDescent="0.6"/>
    <row r="39" spans="5:14" ht="21.75" customHeight="1" x14ac:dyDescent="0.6"/>
    <row r="40" spans="5:14" ht="21.75" customHeight="1" x14ac:dyDescent="0.6"/>
    <row r="41" spans="5:14" ht="21.75" customHeight="1" x14ac:dyDescent="0.6"/>
    <row r="42" spans="5:14" ht="21.75" customHeight="1" x14ac:dyDescent="0.6"/>
    <row r="43" spans="5:14" ht="21.75" customHeight="1" x14ac:dyDescent="0.6"/>
    <row r="44" spans="5:14" ht="21.75" customHeight="1" x14ac:dyDescent="0.6"/>
    <row r="45" spans="5:14" ht="21.75" customHeight="1" x14ac:dyDescent="0.6"/>
    <row r="46" spans="5:14" ht="21.75" customHeight="1" x14ac:dyDescent="0.6"/>
    <row r="47" spans="5:14" ht="21.75" customHeight="1" x14ac:dyDescent="0.6"/>
    <row r="48" spans="5:14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6" orientation="portrait" r:id="rId1"/>
  <headerFooter alignWithMargins="0">
    <oddHeader>&amp;Rแบบ ปร.4 แผ่นที่ &amp;P/1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view="pageBreakPreview" zoomScale="130" zoomScaleSheetLayoutView="130" workbookViewId="0">
      <selection activeCell="L66" sqref="L66"/>
    </sheetView>
  </sheetViews>
  <sheetFormatPr defaultColWidth="9.125" defaultRowHeight="19.8" x14ac:dyDescent="0.5"/>
  <cols>
    <col min="1" max="1" width="5.625" style="1117" customWidth="1"/>
    <col min="2" max="2" width="14.75" style="1117" customWidth="1"/>
    <col min="3" max="3" width="14.875" style="1117" customWidth="1"/>
    <col min="4" max="4" width="7.25" style="1117" customWidth="1"/>
    <col min="5" max="5" width="5.625" style="1138" customWidth="1"/>
    <col min="6" max="6" width="10.5" style="1117" customWidth="1"/>
    <col min="7" max="7" width="13.375" style="1117" customWidth="1"/>
    <col min="8" max="8" width="10.875" style="1117" customWidth="1"/>
    <col min="9" max="9" width="12.5" style="1117" customWidth="1"/>
    <col min="10" max="10" width="13" style="1117" customWidth="1"/>
    <col min="11" max="11" width="7.375" style="1117" customWidth="1"/>
    <col min="12" max="12" width="9.125" style="1117"/>
    <col min="13" max="14" width="10.875" style="1117" bestFit="1" customWidth="1"/>
    <col min="15" max="16384" width="9.125" style="1117"/>
  </cols>
  <sheetData>
    <row r="1" spans="1:12" s="652" customFormat="1" ht="21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2" s="652" customFormat="1" ht="21.6" customHeight="1" x14ac:dyDescent="0.35">
      <c r="A2" s="644" t="s">
        <v>822</v>
      </c>
      <c r="B2" s="645"/>
      <c r="C2" s="646" t="s">
        <v>1580</v>
      </c>
      <c r="D2" s="647"/>
      <c r="E2" s="645"/>
      <c r="F2" s="648"/>
      <c r="G2" s="649"/>
      <c r="H2" s="649"/>
      <c r="I2" s="653"/>
      <c r="J2" s="654"/>
      <c r="K2" s="651"/>
    </row>
    <row r="3" spans="1:12" s="652" customFormat="1" ht="20.399999999999999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58"/>
      <c r="K3" s="661"/>
    </row>
    <row r="4" spans="1:12" s="652" customFormat="1" ht="21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2" s="652" customFormat="1" ht="20.399999999999999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2" s="652" customFormat="1" ht="19.9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2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2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2" s="652" customFormat="1" ht="21" customHeight="1" x14ac:dyDescent="0.35">
      <c r="A9" s="1286"/>
      <c r="B9" s="1376" t="s">
        <v>406</v>
      </c>
      <c r="C9" s="1351"/>
      <c r="D9" s="670"/>
      <c r="E9" s="1232"/>
      <c r="F9" s="1296"/>
      <c r="G9" s="1296"/>
      <c r="H9" s="1296"/>
      <c r="I9" s="1296"/>
      <c r="J9" s="1288"/>
      <c r="K9" s="1288"/>
    </row>
    <row r="10" spans="1:12" s="652" customFormat="1" ht="21" customHeight="1" x14ac:dyDescent="0.35">
      <c r="A10" s="1286">
        <v>1.1000000000000001</v>
      </c>
      <c r="B10" s="652" t="s">
        <v>724</v>
      </c>
      <c r="C10" s="1288"/>
      <c r="D10" s="1352">
        <v>15.36</v>
      </c>
      <c r="E10" s="1232" t="s">
        <v>562</v>
      </c>
      <c r="F10" s="1296" t="s">
        <v>418</v>
      </c>
      <c r="G10" s="1296" t="str">
        <f>IF(F10="-","-",D10*F10)</f>
        <v>-</v>
      </c>
      <c r="H10" s="1296">
        <v>181</v>
      </c>
      <c r="I10" s="1296">
        <f>IF(H10="-","-",H10*D10)</f>
        <v>2780.16</v>
      </c>
      <c r="J10" s="1297">
        <f>SUM(G10,I10)</f>
        <v>2780.16</v>
      </c>
      <c r="K10" s="1288"/>
    </row>
    <row r="11" spans="1:12" s="652" customFormat="1" ht="21" customHeight="1" x14ac:dyDescent="0.35">
      <c r="A11" s="1286">
        <v>1.2</v>
      </c>
      <c r="B11" s="652" t="s">
        <v>1721</v>
      </c>
      <c r="C11" s="1288"/>
      <c r="D11" s="1352">
        <v>2.21</v>
      </c>
      <c r="E11" s="1232" t="s">
        <v>562</v>
      </c>
      <c r="F11" s="1296">
        <v>551.41</v>
      </c>
      <c r="G11" s="1296">
        <f>IF(F11="-","-",D11*F11)</f>
        <v>1218.6161</v>
      </c>
      <c r="H11" s="1296">
        <v>112</v>
      </c>
      <c r="I11" s="1296">
        <f>IF(H11="-","-",H11*D11)</f>
        <v>247.51999999999998</v>
      </c>
      <c r="J11" s="1297">
        <f>SUM(G11,I11)</f>
        <v>1466.1360999999999</v>
      </c>
      <c r="K11" s="1288"/>
      <c r="L11" s="652" t="s">
        <v>1812</v>
      </c>
    </row>
    <row r="12" spans="1:12" s="652" customFormat="1" ht="21" customHeight="1" x14ac:dyDescent="0.35">
      <c r="A12" s="1286"/>
      <c r="B12" s="1376" t="s">
        <v>407</v>
      </c>
      <c r="C12" s="1288"/>
      <c r="D12" s="670"/>
      <c r="E12" s="1232"/>
      <c r="F12" s="1296"/>
      <c r="G12" s="1296"/>
      <c r="H12" s="1296"/>
      <c r="I12" s="1296"/>
      <c r="J12" s="1288"/>
      <c r="K12" s="1288"/>
    </row>
    <row r="13" spans="1:12" s="652" customFormat="1" ht="21" customHeight="1" x14ac:dyDescent="0.35">
      <c r="A13" s="1286">
        <v>2.1</v>
      </c>
      <c r="B13" s="1377" t="s">
        <v>437</v>
      </c>
      <c r="C13" s="1288"/>
      <c r="D13" s="1330">
        <v>14.22</v>
      </c>
      <c r="E13" s="1290" t="s">
        <v>636</v>
      </c>
      <c r="F13" s="1343">
        <v>600</v>
      </c>
      <c r="G13" s="1343">
        <f>IF(F13="-","-",D13*F13)</f>
        <v>8532</v>
      </c>
      <c r="H13" s="1343">
        <v>163</v>
      </c>
      <c r="I13" s="1343">
        <f>IF(H13="-","-",H13*D13)</f>
        <v>2317.86</v>
      </c>
      <c r="J13" s="1297">
        <f>SUM(G13,I13)</f>
        <v>10849.86</v>
      </c>
      <c r="K13" s="1288"/>
      <c r="L13" s="652" t="s">
        <v>1812</v>
      </c>
    </row>
    <row r="14" spans="1:12" s="652" customFormat="1" ht="21" customHeight="1" x14ac:dyDescent="0.35">
      <c r="A14" s="1286">
        <v>2.2000000000000002</v>
      </c>
      <c r="B14" s="652" t="s">
        <v>302</v>
      </c>
      <c r="C14" s="1288"/>
      <c r="D14" s="1352">
        <f>D13/4</f>
        <v>3.5550000000000002</v>
      </c>
      <c r="E14" s="1232" t="s">
        <v>563</v>
      </c>
      <c r="F14" s="1296">
        <v>46.73</v>
      </c>
      <c r="G14" s="1296">
        <f>IF(F14="-","-",D14*F14)+0.23</f>
        <v>166.35514999999998</v>
      </c>
      <c r="H14" s="1296" t="s">
        <v>418</v>
      </c>
      <c r="I14" s="1296" t="str">
        <f>IF(H14="-","-",H14*D14)</f>
        <v>-</v>
      </c>
      <c r="J14" s="1297">
        <f>SUM(G14,I14)</f>
        <v>166.35514999999998</v>
      </c>
      <c r="K14" s="1288"/>
      <c r="L14" s="652" t="s">
        <v>1812</v>
      </c>
    </row>
    <row r="15" spans="1:12" s="652" customFormat="1" ht="21" customHeight="1" x14ac:dyDescent="0.35">
      <c r="A15" s="1286"/>
      <c r="B15" s="1376" t="s">
        <v>408</v>
      </c>
      <c r="C15" s="1351"/>
      <c r="D15" s="670"/>
      <c r="E15" s="1232"/>
      <c r="F15" s="1296"/>
      <c r="G15" s="1296"/>
      <c r="H15" s="1296"/>
      <c r="I15" s="1296"/>
      <c r="J15" s="1288"/>
      <c r="K15" s="1288"/>
    </row>
    <row r="16" spans="1:12" s="652" customFormat="1" ht="21" customHeight="1" x14ac:dyDescent="0.35">
      <c r="A16" s="1286">
        <v>3.1</v>
      </c>
      <c r="B16" s="1338" t="s">
        <v>301</v>
      </c>
      <c r="C16" s="1288"/>
      <c r="D16" s="1352">
        <v>1.02</v>
      </c>
      <c r="E16" s="1232" t="s">
        <v>562</v>
      </c>
      <c r="F16" s="1296">
        <v>2242.9899999999998</v>
      </c>
      <c r="G16" s="1296">
        <f>IF(F16="-","-",D16*F16)</f>
        <v>2287.8498</v>
      </c>
      <c r="H16" s="1296">
        <v>427</v>
      </c>
      <c r="I16" s="1296">
        <f>IF(H16="-","-",H16*D16)</f>
        <v>435.54</v>
      </c>
      <c r="J16" s="1297">
        <f>SUM(G16,I16)</f>
        <v>2723.3897999999999</v>
      </c>
      <c r="K16" s="1288"/>
      <c r="L16" s="652" t="s">
        <v>1816</v>
      </c>
    </row>
    <row r="17" spans="1:12" s="652" customFormat="1" ht="21" customHeight="1" x14ac:dyDescent="0.35">
      <c r="A17" s="1286">
        <v>3.2</v>
      </c>
      <c r="B17" s="1378" t="s">
        <v>1763</v>
      </c>
      <c r="C17" s="1288"/>
      <c r="D17" s="1352">
        <v>5.03</v>
      </c>
      <c r="E17" s="1232" t="s">
        <v>562</v>
      </c>
      <c r="F17" s="1296">
        <v>2411.21</v>
      </c>
      <c r="G17" s="1296">
        <f>IF(F17="-","-",D17*F17)</f>
        <v>12128.3863</v>
      </c>
      <c r="H17" s="1296">
        <v>329</v>
      </c>
      <c r="I17" s="1296">
        <f>IF(H17="-","-",H17*D17)</f>
        <v>1654.8700000000001</v>
      </c>
      <c r="J17" s="1297">
        <f>SUM(G17,I17)</f>
        <v>13783.256300000001</v>
      </c>
      <c r="K17" s="1288"/>
      <c r="L17" s="652" t="s">
        <v>1817</v>
      </c>
    </row>
    <row r="18" spans="1:12" s="652" customFormat="1" ht="21" customHeight="1" x14ac:dyDescent="0.35">
      <c r="A18" s="1286"/>
      <c r="B18" s="1376" t="s">
        <v>409</v>
      </c>
      <c r="C18" s="1351"/>
      <c r="D18" s="670"/>
      <c r="E18" s="1232"/>
      <c r="F18" s="1296"/>
      <c r="G18" s="1296"/>
      <c r="H18" s="1296"/>
      <c r="I18" s="1296"/>
      <c r="J18" s="1288"/>
      <c r="K18" s="1288"/>
    </row>
    <row r="19" spans="1:12" s="652" customFormat="1" ht="21" customHeight="1" x14ac:dyDescent="0.35">
      <c r="A19" s="1286">
        <v>4.0999999999999996</v>
      </c>
      <c r="B19" s="1293" t="s">
        <v>304</v>
      </c>
      <c r="C19" s="1288"/>
      <c r="D19" s="1379">
        <v>161</v>
      </c>
      <c r="E19" s="1290" t="s">
        <v>563</v>
      </c>
      <c r="F19" s="1343">
        <v>23.99</v>
      </c>
      <c r="G19" s="1343">
        <f>IF(F19="-","-",D19*F19)</f>
        <v>3862.39</v>
      </c>
      <c r="H19" s="1343">
        <v>3.9</v>
      </c>
      <c r="I19" s="1343">
        <f>IF(H19="-","-",H19*D19)</f>
        <v>627.9</v>
      </c>
      <c r="J19" s="1297">
        <f>SUM(G19,I19)</f>
        <v>4490.29</v>
      </c>
      <c r="K19" s="1288"/>
      <c r="L19" s="652" t="s">
        <v>1812</v>
      </c>
    </row>
    <row r="20" spans="1:12" s="652" customFormat="1" ht="21" customHeight="1" x14ac:dyDescent="0.35">
      <c r="A20" s="1286">
        <v>4.2</v>
      </c>
      <c r="B20" s="1293" t="s">
        <v>305</v>
      </c>
      <c r="C20" s="1288"/>
      <c r="D20" s="1379">
        <v>142</v>
      </c>
      <c r="E20" s="1290" t="s">
        <v>563</v>
      </c>
      <c r="F20" s="1343">
        <v>21.95</v>
      </c>
      <c r="G20" s="1343">
        <f>IF(F20="-","-",D20*F20)</f>
        <v>3116.9</v>
      </c>
      <c r="H20" s="1343">
        <v>3.9</v>
      </c>
      <c r="I20" s="1343">
        <f>IF(H20="-","-",H20*D20)</f>
        <v>553.79999999999995</v>
      </c>
      <c r="J20" s="1297">
        <f>SUM(G20,I20)</f>
        <v>3670.7</v>
      </c>
      <c r="K20" s="1288"/>
      <c r="L20" s="652" t="s">
        <v>1812</v>
      </c>
    </row>
    <row r="21" spans="1:12" s="652" customFormat="1" ht="21" customHeight="1" x14ac:dyDescent="0.35">
      <c r="A21" s="1286">
        <v>4.2</v>
      </c>
      <c r="B21" s="1287" t="s">
        <v>303</v>
      </c>
      <c r="C21" s="1288"/>
      <c r="D21" s="1330">
        <f>(D19+D20)*30/1000</f>
        <v>9.09</v>
      </c>
      <c r="E21" s="1290" t="s">
        <v>563</v>
      </c>
      <c r="F21" s="1343">
        <v>37.58</v>
      </c>
      <c r="G21" s="1343">
        <f>IF(F21="-","-",D21*F21)</f>
        <v>341.60219999999998</v>
      </c>
      <c r="H21" s="1343" t="s">
        <v>418</v>
      </c>
      <c r="I21" s="1343" t="str">
        <f>IF(H21="-","-",H21*D21)</f>
        <v>-</v>
      </c>
      <c r="J21" s="1297">
        <f>SUM(G21,I21)</f>
        <v>341.60219999999998</v>
      </c>
      <c r="K21" s="1288"/>
      <c r="L21" s="652" t="s">
        <v>1812</v>
      </c>
    </row>
    <row r="22" spans="1:12" s="652" customFormat="1" ht="19.95" customHeight="1" x14ac:dyDescent="0.35">
      <c r="A22" s="1286"/>
      <c r="B22" s="1376" t="s">
        <v>321</v>
      </c>
      <c r="C22" s="1288"/>
      <c r="D22" s="670"/>
      <c r="E22" s="1232"/>
      <c r="F22" s="1296"/>
      <c r="G22" s="1296"/>
      <c r="H22" s="1296"/>
      <c r="I22" s="1296"/>
      <c r="J22" s="1297"/>
      <c r="K22" s="1288"/>
    </row>
    <row r="23" spans="1:12" s="652" customFormat="1" ht="18.600000000000001" customHeight="1" x14ac:dyDescent="0.35">
      <c r="A23" s="1286">
        <v>5.0999999999999996</v>
      </c>
      <c r="B23" s="1323" t="s">
        <v>725</v>
      </c>
      <c r="C23" s="1288"/>
      <c r="D23" s="670">
        <v>1</v>
      </c>
      <c r="E23" s="1232" t="s">
        <v>179</v>
      </c>
      <c r="F23" s="1296">
        <v>1722.5</v>
      </c>
      <c r="G23" s="1296">
        <f>IF(F23="-","-",D23*F23)</f>
        <v>1722.5</v>
      </c>
      <c r="H23" s="1296">
        <v>179</v>
      </c>
      <c r="I23" s="1296">
        <f>IF(H23="-","-",H23*D23)</f>
        <v>179</v>
      </c>
      <c r="J23" s="1297">
        <f t="shared" ref="J23:J29" si="0">SUM(G23,I23)</f>
        <v>1901.5</v>
      </c>
      <c r="K23" s="1285"/>
      <c r="L23" s="652">
        <v>0</v>
      </c>
    </row>
    <row r="24" spans="1:12" s="652" customFormat="1" ht="19.2" customHeight="1" x14ac:dyDescent="0.35">
      <c r="A24" s="1286">
        <v>5.2</v>
      </c>
      <c r="B24" s="1323" t="s">
        <v>1583</v>
      </c>
      <c r="C24" s="1359"/>
      <c r="D24" s="670">
        <v>0.5</v>
      </c>
      <c r="E24" s="1232" t="s">
        <v>179</v>
      </c>
      <c r="F24" s="1296">
        <v>706.54</v>
      </c>
      <c r="G24" s="1296">
        <f>IF(F24="-","-",D24*F24)</f>
        <v>353.27</v>
      </c>
      <c r="H24" s="1296">
        <v>113</v>
      </c>
      <c r="I24" s="1296">
        <f>IF(H24="-","-",H24*D24)</f>
        <v>56.5</v>
      </c>
      <c r="J24" s="1297">
        <f t="shared" si="0"/>
        <v>409.77</v>
      </c>
      <c r="K24" s="1285"/>
      <c r="L24" s="652" t="s">
        <v>1813</v>
      </c>
    </row>
    <row r="25" spans="1:12" s="652" customFormat="1" ht="19.2" customHeight="1" x14ac:dyDescent="0.35">
      <c r="A25" s="1380">
        <v>5.3</v>
      </c>
      <c r="B25" s="1323" t="s">
        <v>322</v>
      </c>
      <c r="C25" s="1359"/>
      <c r="D25" s="670">
        <v>0.5</v>
      </c>
      <c r="E25" s="1232" t="s">
        <v>179</v>
      </c>
      <c r="F25" s="1296">
        <v>215.89</v>
      </c>
      <c r="G25" s="1296">
        <f t="shared" ref="G25:G36" si="1">IF(F25="-","-",D25*F25)</f>
        <v>107.94499999999999</v>
      </c>
      <c r="H25" s="1296">
        <v>31</v>
      </c>
      <c r="I25" s="1296">
        <f>IF(H25="-","-",H25*D25)</f>
        <v>15.5</v>
      </c>
      <c r="J25" s="1297">
        <f t="shared" si="0"/>
        <v>123.44499999999999</v>
      </c>
      <c r="K25" s="1285"/>
      <c r="L25" s="652" t="s">
        <v>1813</v>
      </c>
    </row>
    <row r="26" spans="1:12" s="652" customFormat="1" ht="18.600000000000001" customHeight="1" x14ac:dyDescent="0.35">
      <c r="A26" s="1380">
        <v>5.4</v>
      </c>
      <c r="B26" s="1453" t="s">
        <v>1581</v>
      </c>
      <c r="C26" s="1454"/>
      <c r="D26" s="670">
        <v>5</v>
      </c>
      <c r="E26" s="1232" t="s">
        <v>179</v>
      </c>
      <c r="F26" s="1296">
        <v>291.58999999999997</v>
      </c>
      <c r="G26" s="1296">
        <f t="shared" si="1"/>
        <v>1457.9499999999998</v>
      </c>
      <c r="H26" s="1296">
        <v>41</v>
      </c>
      <c r="I26" s="1296">
        <f>IF(H26="-","-",H26*D26)</f>
        <v>205</v>
      </c>
      <c r="J26" s="1297">
        <f t="shared" si="0"/>
        <v>1662.9499999999998</v>
      </c>
      <c r="K26" s="1288"/>
      <c r="L26" s="652" t="s">
        <v>1812</v>
      </c>
    </row>
    <row r="27" spans="1:12" s="652" customFormat="1" ht="18.600000000000001" customHeight="1" x14ac:dyDescent="0.35">
      <c r="A27" s="1380">
        <v>5.5</v>
      </c>
      <c r="B27" s="1453" t="s">
        <v>1582</v>
      </c>
      <c r="C27" s="1454"/>
      <c r="D27" s="670">
        <v>5</v>
      </c>
      <c r="E27" s="1232" t="s">
        <v>179</v>
      </c>
      <c r="F27" s="1296">
        <v>291.58999999999997</v>
      </c>
      <c r="G27" s="1296">
        <f t="shared" si="1"/>
        <v>1457.9499999999998</v>
      </c>
      <c r="H27" s="1296">
        <v>41</v>
      </c>
      <c r="I27" s="1296">
        <f>IF(H27="-","-",H27*D27)</f>
        <v>205</v>
      </c>
      <c r="J27" s="1297">
        <f t="shared" si="0"/>
        <v>1662.9499999999998</v>
      </c>
      <c r="K27" s="1288"/>
      <c r="L27" s="652" t="s">
        <v>1812</v>
      </c>
    </row>
    <row r="28" spans="1:12" s="652" customFormat="1" ht="19.2" customHeight="1" x14ac:dyDescent="0.35">
      <c r="A28" s="1380">
        <v>5.6</v>
      </c>
      <c r="B28" s="652" t="s">
        <v>323</v>
      </c>
      <c r="C28" s="1288"/>
      <c r="D28" s="670">
        <v>2</v>
      </c>
      <c r="E28" s="1232" t="s">
        <v>717</v>
      </c>
      <c r="F28" s="1296">
        <v>216</v>
      </c>
      <c r="G28" s="1296">
        <f t="shared" si="1"/>
        <v>432</v>
      </c>
      <c r="H28" s="1296"/>
      <c r="I28" s="1296"/>
      <c r="J28" s="1297">
        <f t="shared" si="0"/>
        <v>432</v>
      </c>
      <c r="K28" s="1288"/>
      <c r="L28" s="652">
        <v>0</v>
      </c>
    </row>
    <row r="29" spans="1:12" s="652" customFormat="1" ht="21" customHeight="1" x14ac:dyDescent="0.35">
      <c r="A29" s="1380">
        <v>5.7</v>
      </c>
      <c r="B29" s="652" t="s">
        <v>1584</v>
      </c>
      <c r="C29" s="1288"/>
      <c r="D29" s="670">
        <v>4</v>
      </c>
      <c r="E29" s="1232" t="s">
        <v>717</v>
      </c>
      <c r="F29" s="1296">
        <v>80</v>
      </c>
      <c r="G29" s="1296">
        <f t="shared" ref="G29" si="2">IF(F29="-","-",D29*F29)</f>
        <v>320</v>
      </c>
      <c r="H29" s="1296"/>
      <c r="I29" s="1296"/>
      <c r="J29" s="1297">
        <f t="shared" si="0"/>
        <v>320</v>
      </c>
      <c r="K29" s="1288"/>
      <c r="L29" s="652">
        <v>0</v>
      </c>
    </row>
    <row r="30" spans="1:12" s="652" customFormat="1" ht="21" customHeight="1" x14ac:dyDescent="0.35">
      <c r="A30" s="1380">
        <v>5.8</v>
      </c>
      <c r="B30" s="652" t="s">
        <v>324</v>
      </c>
      <c r="C30" s="1288"/>
      <c r="D30" s="670"/>
      <c r="E30" s="1232" t="s">
        <v>717</v>
      </c>
      <c r="F30" s="1296">
        <v>11</v>
      </c>
      <c r="G30" s="1296">
        <f t="shared" si="1"/>
        <v>0</v>
      </c>
      <c r="H30" s="1296"/>
      <c r="I30" s="1296"/>
      <c r="J30" s="1297">
        <f t="shared" ref="J30:J36" si="3">SUM(G30,I30)</f>
        <v>0</v>
      </c>
      <c r="K30" s="1288"/>
    </row>
    <row r="31" spans="1:12" s="652" customFormat="1" ht="21" customHeight="1" x14ac:dyDescent="0.35">
      <c r="A31" s="1380">
        <v>5.9</v>
      </c>
      <c r="B31" s="652" t="s">
        <v>1772</v>
      </c>
      <c r="C31" s="1288"/>
      <c r="D31" s="670"/>
      <c r="E31" s="1232" t="s">
        <v>717</v>
      </c>
      <c r="F31" s="1296">
        <v>175</v>
      </c>
      <c r="G31" s="1296">
        <f t="shared" si="1"/>
        <v>0</v>
      </c>
      <c r="H31" s="1296"/>
      <c r="I31" s="1296"/>
      <c r="J31" s="1297">
        <f t="shared" si="3"/>
        <v>0</v>
      </c>
      <c r="K31" s="1288"/>
    </row>
    <row r="32" spans="1:12" s="652" customFormat="1" ht="21" customHeight="1" x14ac:dyDescent="0.35">
      <c r="A32" s="1381">
        <v>5.0999999999999996</v>
      </c>
      <c r="B32" s="652" t="s">
        <v>325</v>
      </c>
      <c r="C32" s="1288"/>
      <c r="D32" s="670">
        <v>1</v>
      </c>
      <c r="E32" s="1232" t="s">
        <v>717</v>
      </c>
      <c r="F32" s="1296">
        <v>17.760000000000002</v>
      </c>
      <c r="G32" s="1296">
        <f t="shared" si="1"/>
        <v>17.760000000000002</v>
      </c>
      <c r="H32" s="1296"/>
      <c r="I32" s="1296"/>
      <c r="J32" s="1297">
        <f t="shared" si="3"/>
        <v>17.760000000000002</v>
      </c>
      <c r="K32" s="1288"/>
      <c r="L32" s="652" t="s">
        <v>1812</v>
      </c>
    </row>
    <row r="33" spans="1:14" s="652" customFormat="1" ht="21" customHeight="1" x14ac:dyDescent="0.35">
      <c r="A33" s="1381">
        <v>5.1100000000000003</v>
      </c>
      <c r="B33" s="1323" t="s">
        <v>273</v>
      </c>
      <c r="C33" s="1359"/>
      <c r="D33" s="670">
        <v>0</v>
      </c>
      <c r="E33" s="1232" t="s">
        <v>717</v>
      </c>
      <c r="F33" s="1296">
        <v>37</v>
      </c>
      <c r="G33" s="1296">
        <f t="shared" si="1"/>
        <v>0</v>
      </c>
      <c r="H33" s="1296"/>
      <c r="I33" s="1296">
        <v>1500</v>
      </c>
      <c r="J33" s="1297">
        <f t="shared" si="3"/>
        <v>1500</v>
      </c>
      <c r="K33" s="1288"/>
    </row>
    <row r="34" spans="1:14" s="652" customFormat="1" ht="21" customHeight="1" x14ac:dyDescent="0.35">
      <c r="A34" s="1381">
        <v>5.12</v>
      </c>
      <c r="B34" s="1323" t="s">
        <v>1585</v>
      </c>
      <c r="C34" s="1359"/>
      <c r="D34" s="670">
        <v>0</v>
      </c>
      <c r="E34" s="1232" t="s">
        <v>717</v>
      </c>
      <c r="F34" s="1296">
        <v>14</v>
      </c>
      <c r="G34" s="1296">
        <f t="shared" ref="G34" si="4">IF(F34="-","-",D34*F34)</f>
        <v>0</v>
      </c>
      <c r="H34" s="1296"/>
      <c r="I34" s="1296"/>
      <c r="J34" s="1297">
        <f t="shared" ref="J34" si="5">SUM(G34,I34)</f>
        <v>0</v>
      </c>
      <c r="K34" s="1288"/>
    </row>
    <row r="35" spans="1:14" s="652" customFormat="1" ht="21" customHeight="1" x14ac:dyDescent="0.35">
      <c r="A35" s="1381">
        <v>5.13</v>
      </c>
      <c r="B35" s="652" t="s">
        <v>326</v>
      </c>
      <c r="C35" s="1288"/>
      <c r="D35" s="670">
        <v>1</v>
      </c>
      <c r="E35" s="1232" t="s">
        <v>553</v>
      </c>
      <c r="F35" s="1296">
        <v>141</v>
      </c>
      <c r="G35" s="1296">
        <f t="shared" si="1"/>
        <v>141</v>
      </c>
      <c r="H35" s="1296"/>
      <c r="I35" s="1296"/>
      <c r="J35" s="1297">
        <f t="shared" si="3"/>
        <v>141</v>
      </c>
      <c r="K35" s="1288"/>
      <c r="L35" s="652">
        <v>0</v>
      </c>
    </row>
    <row r="36" spans="1:14" s="652" customFormat="1" ht="21" customHeight="1" x14ac:dyDescent="0.35">
      <c r="A36" s="1381">
        <v>5.14</v>
      </c>
      <c r="B36" s="652" t="s">
        <v>556</v>
      </c>
      <c r="C36" s="1288"/>
      <c r="D36" s="670">
        <v>10</v>
      </c>
      <c r="E36" s="1232" t="s">
        <v>557</v>
      </c>
      <c r="F36" s="1296">
        <v>30</v>
      </c>
      <c r="G36" s="1296">
        <f t="shared" si="1"/>
        <v>300</v>
      </c>
      <c r="H36" s="1296"/>
      <c r="I36" s="1296"/>
      <c r="J36" s="1297">
        <f t="shared" si="3"/>
        <v>300</v>
      </c>
      <c r="K36" s="1288"/>
      <c r="L36" s="652">
        <v>0</v>
      </c>
    </row>
    <row r="37" spans="1:14" s="652" customFormat="1" ht="21" customHeight="1" x14ac:dyDescent="0.35">
      <c r="A37" s="1247"/>
      <c r="B37" s="1382"/>
      <c r="C37" s="1315" t="s">
        <v>410</v>
      </c>
      <c r="D37" s="1383"/>
      <c r="E37" s="1370"/>
      <c r="F37" s="1384"/>
      <c r="G37" s="1385">
        <f>SUM(G10:G36)+0.02</f>
        <v>37964.494549999989</v>
      </c>
      <c r="H37" s="1385"/>
      <c r="I37" s="1386">
        <f>SUM(I10:I36)</f>
        <v>10778.65</v>
      </c>
      <c r="J37" s="1318">
        <f>SUM(J10:J36)+0.02</f>
        <v>48743.14454999999</v>
      </c>
      <c r="K37" s="688"/>
    </row>
    <row r="38" spans="1:14" s="652" customFormat="1" ht="20.25" customHeight="1" x14ac:dyDescent="0.35">
      <c r="A38" s="1286"/>
      <c r="B38" s="1387"/>
      <c r="C38" s="1259" t="s">
        <v>411</v>
      </c>
      <c r="D38" s="1289"/>
      <c r="E38" s="1342"/>
      <c r="F38" s="1343"/>
      <c r="G38" s="1388">
        <f>G37</f>
        <v>37964.494549999989</v>
      </c>
      <c r="H38" s="1388"/>
      <c r="I38" s="1388">
        <f>I37</f>
        <v>10778.65</v>
      </c>
      <c r="J38" s="1340">
        <f>SUM(G38,I38)</f>
        <v>48743.14454999999</v>
      </c>
      <c r="K38" s="1288"/>
    </row>
    <row r="39" spans="1:14" s="652" customFormat="1" ht="20.25" customHeight="1" x14ac:dyDescent="0.35">
      <c r="A39" s="1381">
        <v>5.15</v>
      </c>
      <c r="B39" s="652" t="s">
        <v>331</v>
      </c>
      <c r="C39" s="1288"/>
      <c r="D39" s="670">
        <v>1</v>
      </c>
      <c r="E39" s="1232" t="s">
        <v>553</v>
      </c>
      <c r="F39" s="1296">
        <v>2414</v>
      </c>
      <c r="G39" s="1296">
        <f t="shared" ref="G39:G40" si="6">IF(F39="-","-",D39*F39)</f>
        <v>2414</v>
      </c>
      <c r="H39" s="1296"/>
      <c r="I39" s="1296"/>
      <c r="J39" s="1297">
        <f t="shared" ref="J39:J40" si="7">SUM(G39,I39)</f>
        <v>2414</v>
      </c>
      <c r="K39" s="1288"/>
      <c r="L39" s="652">
        <v>0</v>
      </c>
      <c r="M39" s="1294">
        <f>SUM(G34:G39)</f>
        <v>78783.989099999977</v>
      </c>
      <c r="N39" s="1389">
        <f>M39*0.2</f>
        <v>15756.797819999996</v>
      </c>
    </row>
    <row r="40" spans="1:14" s="652" customFormat="1" ht="20.25" customHeight="1" x14ac:dyDescent="0.35">
      <c r="A40" s="1381">
        <v>5.16</v>
      </c>
      <c r="B40" s="652" t="s">
        <v>1586</v>
      </c>
      <c r="C40" s="1288"/>
      <c r="D40" s="670">
        <v>1</v>
      </c>
      <c r="E40" s="1232" t="s">
        <v>553</v>
      </c>
      <c r="F40" s="1296">
        <v>796</v>
      </c>
      <c r="G40" s="1296">
        <f t="shared" si="6"/>
        <v>796</v>
      </c>
      <c r="H40" s="1296"/>
      <c r="I40" s="1296"/>
      <c r="J40" s="1297">
        <f t="shared" si="7"/>
        <v>796</v>
      </c>
      <c r="K40" s="1288"/>
      <c r="L40" s="652">
        <v>0</v>
      </c>
      <c r="M40" s="1294">
        <f>SUM(G35:G40)</f>
        <v>79579.989099999977</v>
      </c>
      <c r="N40" s="1389">
        <f>M40*0.2</f>
        <v>15915.997819999997</v>
      </c>
    </row>
    <row r="41" spans="1:14" s="652" customFormat="1" ht="20.25" customHeight="1" x14ac:dyDescent="0.35">
      <c r="A41" s="1381">
        <v>5.17</v>
      </c>
      <c r="B41" s="652" t="s">
        <v>332</v>
      </c>
      <c r="C41" s="1288"/>
      <c r="D41" s="670">
        <v>1</v>
      </c>
      <c r="E41" s="1232" t="s">
        <v>553</v>
      </c>
      <c r="F41" s="1296">
        <v>3500</v>
      </c>
      <c r="G41" s="1296">
        <f t="shared" ref="G41:G49" si="8">IF(F41="-","-",D41*F41)</f>
        <v>3500</v>
      </c>
      <c r="H41" s="1296">
        <v>250</v>
      </c>
      <c r="I41" s="1296">
        <f>IF(H41="-","-",H41*D41)</f>
        <v>250</v>
      </c>
      <c r="J41" s="1297">
        <f t="shared" ref="J41:J49" si="9">SUM(G41,I41)</f>
        <v>3750</v>
      </c>
      <c r="K41" s="1288"/>
      <c r="L41" s="652">
        <v>0</v>
      </c>
    </row>
    <row r="42" spans="1:14" s="652" customFormat="1" ht="20.25" customHeight="1" x14ac:dyDescent="0.35">
      <c r="A42" s="1381">
        <v>5.18</v>
      </c>
      <c r="B42" s="652" t="s">
        <v>333</v>
      </c>
      <c r="C42" s="1288"/>
      <c r="D42" s="670">
        <v>2</v>
      </c>
      <c r="E42" s="1232" t="s">
        <v>553</v>
      </c>
      <c r="F42" s="1296">
        <v>276</v>
      </c>
      <c r="G42" s="1296">
        <f t="shared" si="8"/>
        <v>552</v>
      </c>
      <c r="H42" s="1296"/>
      <c r="I42" s="1296"/>
      <c r="J42" s="1297">
        <f t="shared" si="9"/>
        <v>552</v>
      </c>
      <c r="K42" s="1288"/>
      <c r="L42" s="652">
        <v>0</v>
      </c>
    </row>
    <row r="43" spans="1:14" s="652" customFormat="1" ht="20.25" customHeight="1" x14ac:dyDescent="0.35">
      <c r="A43" s="1381">
        <v>5.19</v>
      </c>
      <c r="B43" s="652" t="s">
        <v>1587</v>
      </c>
      <c r="C43" s="1288"/>
      <c r="D43" s="670">
        <v>2</v>
      </c>
      <c r="E43" s="1232" t="s">
        <v>553</v>
      </c>
      <c r="F43" s="1296">
        <v>88</v>
      </c>
      <c r="G43" s="1296">
        <f t="shared" si="8"/>
        <v>176</v>
      </c>
      <c r="H43" s="1296"/>
      <c r="I43" s="1296"/>
      <c r="J43" s="1297">
        <f t="shared" si="9"/>
        <v>176</v>
      </c>
      <c r="K43" s="1288"/>
      <c r="L43" s="652">
        <v>0</v>
      </c>
    </row>
    <row r="44" spans="1:14" s="652" customFormat="1" ht="20.25" customHeight="1" x14ac:dyDescent="0.35">
      <c r="A44" s="1381">
        <v>5.2</v>
      </c>
      <c r="B44" s="652" t="s">
        <v>334</v>
      </c>
      <c r="C44" s="1288"/>
      <c r="D44" s="670">
        <v>2</v>
      </c>
      <c r="E44" s="1232" t="s">
        <v>553</v>
      </c>
      <c r="F44" s="1296">
        <v>16</v>
      </c>
      <c r="G44" s="1296">
        <f t="shared" si="8"/>
        <v>32</v>
      </c>
      <c r="H44" s="1296"/>
      <c r="I44" s="1296"/>
      <c r="J44" s="1297">
        <f t="shared" si="9"/>
        <v>32</v>
      </c>
      <c r="K44" s="1288"/>
      <c r="L44" s="652">
        <v>0</v>
      </c>
    </row>
    <row r="45" spans="1:14" s="652" customFormat="1" ht="20.25" customHeight="1" x14ac:dyDescent="0.35">
      <c r="A45" s="1381">
        <v>5.21</v>
      </c>
      <c r="B45" s="652" t="s">
        <v>1756</v>
      </c>
      <c r="C45" s="1288"/>
      <c r="D45" s="670"/>
      <c r="E45" s="1232" t="s">
        <v>553</v>
      </c>
      <c r="F45" s="1296">
        <v>684</v>
      </c>
      <c r="G45" s="1296">
        <f t="shared" si="8"/>
        <v>0</v>
      </c>
      <c r="H45" s="1296"/>
      <c r="I45" s="1296"/>
      <c r="J45" s="1297">
        <f t="shared" si="9"/>
        <v>0</v>
      </c>
      <c r="K45" s="1288"/>
    </row>
    <row r="46" spans="1:14" s="652" customFormat="1" ht="20.25" customHeight="1" x14ac:dyDescent="0.35">
      <c r="A46" s="1381">
        <v>5.22</v>
      </c>
      <c r="B46" s="652" t="s">
        <v>1588</v>
      </c>
      <c r="C46" s="1288"/>
      <c r="D46" s="670">
        <v>1</v>
      </c>
      <c r="E46" s="1232" t="s">
        <v>553</v>
      </c>
      <c r="F46" s="1296">
        <v>276</v>
      </c>
      <c r="G46" s="1296">
        <f t="shared" si="8"/>
        <v>276</v>
      </c>
      <c r="H46" s="1296"/>
      <c r="I46" s="1296"/>
      <c r="J46" s="1297">
        <f t="shared" si="9"/>
        <v>276</v>
      </c>
      <c r="K46" s="1288"/>
      <c r="L46" s="652">
        <v>0</v>
      </c>
    </row>
    <row r="47" spans="1:14" s="652" customFormat="1" ht="20.25" customHeight="1" x14ac:dyDescent="0.35">
      <c r="A47" s="1381">
        <v>5.23</v>
      </c>
      <c r="B47" s="652" t="s">
        <v>1795</v>
      </c>
      <c r="C47" s="1288"/>
      <c r="D47" s="670">
        <v>1</v>
      </c>
      <c r="E47" s="1232" t="s">
        <v>553</v>
      </c>
      <c r="F47" s="1296">
        <v>300</v>
      </c>
      <c r="G47" s="1296">
        <f t="shared" ref="G47:G48" si="10">IF(F47="-","-",D47*F47)</f>
        <v>300</v>
      </c>
      <c r="H47" s="1296"/>
      <c r="I47" s="1296"/>
      <c r="J47" s="1297">
        <f t="shared" ref="J47:J48" si="11">SUM(G47,I47)</f>
        <v>300</v>
      </c>
      <c r="K47" s="1288"/>
      <c r="L47" s="652">
        <v>0</v>
      </c>
    </row>
    <row r="48" spans="1:14" s="652" customFormat="1" ht="21.75" customHeight="1" x14ac:dyDescent="0.35">
      <c r="A48" s="1301">
        <v>5.24</v>
      </c>
      <c r="B48" s="652" t="s">
        <v>1746</v>
      </c>
      <c r="D48" s="1287">
        <v>1</v>
      </c>
      <c r="E48" s="1290" t="s">
        <v>717</v>
      </c>
      <c r="F48" s="1296">
        <v>450</v>
      </c>
      <c r="G48" s="1297">
        <f t="shared" si="10"/>
        <v>450</v>
      </c>
      <c r="H48" s="1297"/>
      <c r="I48" s="1296"/>
      <c r="J48" s="1284">
        <f t="shared" si="11"/>
        <v>450</v>
      </c>
      <c r="K48" s="1288"/>
      <c r="L48" s="652">
        <v>0</v>
      </c>
    </row>
    <row r="49" spans="1:14" s="652" customFormat="1" ht="20.25" customHeight="1" x14ac:dyDescent="0.35">
      <c r="A49" s="1381">
        <v>5.25</v>
      </c>
      <c r="B49" s="652" t="s">
        <v>1750</v>
      </c>
      <c r="C49" s="1288"/>
      <c r="D49" s="670">
        <v>1</v>
      </c>
      <c r="E49" s="1232" t="s">
        <v>747</v>
      </c>
      <c r="F49" s="1296">
        <v>500</v>
      </c>
      <c r="G49" s="1296">
        <f t="shared" si="8"/>
        <v>500</v>
      </c>
      <c r="H49" s="1296"/>
      <c r="I49" s="1296"/>
      <c r="J49" s="1297">
        <f t="shared" si="9"/>
        <v>500</v>
      </c>
      <c r="K49" s="1288"/>
    </row>
    <row r="50" spans="1:14" s="652" customFormat="1" ht="20.25" customHeight="1" x14ac:dyDescent="0.35">
      <c r="A50" s="1286"/>
      <c r="B50" s="1376" t="s">
        <v>327</v>
      </c>
      <c r="C50" s="1351"/>
      <c r="D50" s="670"/>
      <c r="E50" s="1232"/>
      <c r="F50" s="1296"/>
      <c r="G50" s="1296"/>
      <c r="H50" s="1296"/>
      <c r="I50" s="1296"/>
      <c r="J50" s="1297"/>
      <c r="K50" s="1288"/>
    </row>
    <row r="51" spans="1:14" s="652" customFormat="1" ht="20.25" customHeight="1" x14ac:dyDescent="0.35">
      <c r="A51" s="1286">
        <v>6.1</v>
      </c>
      <c r="B51" s="652" t="str">
        <f>'[3]งานผิวผนัง-ผิวพื้น'!$B$2</f>
        <v xml:space="preserve">ฉาบปูนเรียบธรรมดา </v>
      </c>
      <c r="C51" s="1288"/>
      <c r="D51" s="1352">
        <v>1.88</v>
      </c>
      <c r="E51" s="1232" t="s">
        <v>636</v>
      </c>
      <c r="F51" s="1296">
        <v>55</v>
      </c>
      <c r="G51" s="1296">
        <f>IF(F51="-","-",D51*F51)</f>
        <v>103.39999999999999</v>
      </c>
      <c r="H51" s="1296">
        <v>96</v>
      </c>
      <c r="I51" s="1296">
        <f>IF(H51="-","-",H51*D51)</f>
        <v>180.48</v>
      </c>
      <c r="J51" s="1297">
        <f>SUM(G51,I51)</f>
        <v>283.88</v>
      </c>
      <c r="K51" s="1288"/>
      <c r="L51" s="652">
        <v>0</v>
      </c>
    </row>
    <row r="52" spans="1:14" s="652" customFormat="1" ht="20.25" customHeight="1" x14ac:dyDescent="0.35">
      <c r="A52" s="1286"/>
      <c r="B52" s="1376" t="s">
        <v>328</v>
      </c>
      <c r="C52" s="1351"/>
      <c r="D52" s="670"/>
      <c r="E52" s="1232"/>
      <c r="F52" s="1296"/>
      <c r="G52" s="1296"/>
      <c r="H52" s="1296"/>
      <c r="I52" s="1296"/>
      <c r="J52" s="1297"/>
      <c r="K52" s="1288"/>
    </row>
    <row r="53" spans="1:14" s="652" customFormat="1" ht="20.25" customHeight="1" x14ac:dyDescent="0.35">
      <c r="A53" s="1286">
        <v>7.1</v>
      </c>
      <c r="B53" s="652" t="str">
        <f>[3]งานทาสี!$B$2</f>
        <v>ทาสีน้ำพลาสติก</v>
      </c>
      <c r="C53" s="1288"/>
      <c r="D53" s="1352">
        <v>1.26</v>
      </c>
      <c r="E53" s="1232" t="s">
        <v>636</v>
      </c>
      <c r="F53" s="1296">
        <v>35</v>
      </c>
      <c r="G53" s="1296">
        <f>IF(F53="-","-",D53*F53)</f>
        <v>44.1</v>
      </c>
      <c r="H53" s="1296">
        <v>35</v>
      </c>
      <c r="I53" s="1296">
        <f>IF(H53="-","-",H53*D53)</f>
        <v>44.1</v>
      </c>
      <c r="J53" s="1297">
        <f>SUM(G53,I53)</f>
        <v>88.2</v>
      </c>
      <c r="K53" s="1288"/>
      <c r="L53" s="652">
        <v>0</v>
      </c>
    </row>
    <row r="54" spans="1:14" s="652" customFormat="1" ht="20.25" customHeight="1" x14ac:dyDescent="0.35">
      <c r="A54" s="1286">
        <v>7.2</v>
      </c>
      <c r="B54" s="652" t="str">
        <f>[3]งานทาสี!$B$3</f>
        <v>ทาสีน้ำมัน</v>
      </c>
      <c r="C54" s="1288"/>
      <c r="D54" s="670">
        <v>2</v>
      </c>
      <c r="E54" s="1232" t="s">
        <v>636</v>
      </c>
      <c r="F54" s="1390">
        <v>45</v>
      </c>
      <c r="G54" s="1296">
        <f>IF(F54="-","-",D54*F54)</f>
        <v>90</v>
      </c>
      <c r="H54" s="1296">
        <v>39</v>
      </c>
      <c r="I54" s="1296">
        <f>IF(H54="-","-",H54*D54)</f>
        <v>78</v>
      </c>
      <c r="J54" s="1284">
        <f>SUM(G54,I54)</f>
        <v>168</v>
      </c>
      <c r="K54" s="1288"/>
      <c r="L54" s="652">
        <v>0</v>
      </c>
    </row>
    <row r="55" spans="1:14" s="652" customFormat="1" ht="20.25" customHeight="1" x14ac:dyDescent="0.35">
      <c r="A55" s="1286"/>
      <c r="B55" s="1350" t="s">
        <v>329</v>
      </c>
      <c r="C55" s="1391"/>
      <c r="D55" s="670"/>
      <c r="E55" s="1232"/>
      <c r="F55" s="1296"/>
      <c r="G55" s="1296"/>
      <c r="H55" s="1296"/>
      <c r="I55" s="1296"/>
      <c r="J55" s="1284"/>
      <c r="K55" s="1288"/>
    </row>
    <row r="56" spans="1:14" s="652" customFormat="1" ht="20.25" customHeight="1" x14ac:dyDescent="0.35">
      <c r="A56" s="1286">
        <v>8.1</v>
      </c>
      <c r="B56" s="1453" t="s">
        <v>1757</v>
      </c>
      <c r="C56" s="1359"/>
      <c r="D56" s="670">
        <v>16</v>
      </c>
      <c r="E56" s="1232" t="s">
        <v>417</v>
      </c>
      <c r="F56" s="1296">
        <v>1200</v>
      </c>
      <c r="G56" s="1296">
        <f>IF(F56="-","-",D56*F56)</f>
        <v>19200</v>
      </c>
      <c r="H56" s="1296">
        <v>420</v>
      </c>
      <c r="I56" s="1296">
        <f>IF(H56="-","-",H56*D56)</f>
        <v>6720</v>
      </c>
      <c r="J56" s="1284">
        <f>SUM(G56,I56)</f>
        <v>25920</v>
      </c>
      <c r="K56" s="1288"/>
      <c r="M56" s="690">
        <f>2056*6/10</f>
        <v>1233.5999999999999</v>
      </c>
      <c r="N56" s="652" t="s">
        <v>768</v>
      </c>
    </row>
    <row r="57" spans="1:14" s="652" customFormat="1" ht="20.25" customHeight="1" x14ac:dyDescent="0.35">
      <c r="A57" s="1286"/>
      <c r="B57" s="1323" t="s">
        <v>1758</v>
      </c>
      <c r="C57" s="1359"/>
      <c r="D57" s="670"/>
      <c r="E57" s="1232"/>
      <c r="F57" s="1392"/>
      <c r="G57" s="1392"/>
      <c r="H57" s="1392"/>
      <c r="I57" s="1296"/>
      <c r="J57" s="1284"/>
      <c r="K57" s="1288"/>
      <c r="M57" s="690">
        <f>1937*6/10</f>
        <v>1162.2</v>
      </c>
      <c r="N57" s="652" t="s">
        <v>767</v>
      </c>
    </row>
    <row r="58" spans="1:14" s="652" customFormat="1" ht="20.25" customHeight="1" x14ac:dyDescent="0.35">
      <c r="A58" s="1286">
        <v>8.1999999999999993</v>
      </c>
      <c r="B58" s="1287" t="s">
        <v>1633</v>
      </c>
      <c r="C58" s="1393"/>
      <c r="D58" s="1394">
        <v>16</v>
      </c>
      <c r="E58" s="1395" t="s">
        <v>417</v>
      </c>
      <c r="F58" s="1396"/>
      <c r="G58" s="1397">
        <f>IF(F58="-","-",D58*F58)</f>
        <v>0</v>
      </c>
      <c r="H58" s="1397">
        <v>180</v>
      </c>
      <c r="I58" s="1397">
        <f>IF(H58="-","-",H58*D58)</f>
        <v>2880</v>
      </c>
      <c r="J58" s="1284">
        <f>SUM(G58,I58)</f>
        <v>2880</v>
      </c>
      <c r="K58" s="1288"/>
      <c r="M58" s="690"/>
    </row>
    <row r="59" spans="1:14" s="652" customFormat="1" ht="20.25" customHeight="1" x14ac:dyDescent="0.35">
      <c r="A59" s="1286">
        <v>8.3000000000000007</v>
      </c>
      <c r="B59" s="652" t="s">
        <v>306</v>
      </c>
      <c r="C59" s="1288"/>
      <c r="D59" s="670">
        <v>1</v>
      </c>
      <c r="E59" s="1232" t="s">
        <v>307</v>
      </c>
      <c r="F59" s="1296"/>
      <c r="G59" s="1296"/>
      <c r="H59" s="1296">
        <v>10000</v>
      </c>
      <c r="I59" s="1296">
        <f>IF(H59="-","-",H59*D59)</f>
        <v>10000</v>
      </c>
      <c r="J59" s="1284">
        <f>SUM(G59,I59)</f>
        <v>10000</v>
      </c>
      <c r="K59" s="1288"/>
    </row>
    <row r="60" spans="1:14" s="652" customFormat="1" ht="20.25" customHeight="1" x14ac:dyDescent="0.35">
      <c r="A60" s="1286"/>
      <c r="B60" s="1350" t="s">
        <v>330</v>
      </c>
      <c r="C60" s="1288"/>
      <c r="D60" s="670"/>
      <c r="E60" s="670"/>
      <c r="F60" s="1343"/>
      <c r="G60" s="1388"/>
      <c r="H60" s="1388"/>
      <c r="I60" s="1388"/>
      <c r="J60" s="1340"/>
      <c r="K60" s="1288"/>
    </row>
    <row r="61" spans="1:14" s="652" customFormat="1" ht="20.25" customHeight="1" x14ac:dyDescent="0.35">
      <c r="A61" s="1286">
        <v>9.1</v>
      </c>
      <c r="B61" s="1336" t="s">
        <v>1642</v>
      </c>
      <c r="C61" s="1288"/>
      <c r="D61" s="670">
        <v>1</v>
      </c>
      <c r="E61" s="1232" t="s">
        <v>553</v>
      </c>
      <c r="F61" s="1331">
        <v>220000</v>
      </c>
      <c r="G61" s="1296">
        <f>IF(F61="-","-",D61*F61)</f>
        <v>220000</v>
      </c>
      <c r="H61" s="1296">
        <v>0</v>
      </c>
      <c r="I61" s="1296">
        <f>IF(H61="-","-",H61*D61)</f>
        <v>0</v>
      </c>
      <c r="J61" s="1284">
        <f>SUM(G61,I61)</f>
        <v>220000</v>
      </c>
      <c r="K61" s="1288"/>
      <c r="L61" s="652">
        <v>0</v>
      </c>
    </row>
    <row r="62" spans="1:14" s="652" customFormat="1" ht="20.25" customHeight="1" x14ac:dyDescent="0.35">
      <c r="A62" s="1286">
        <v>9.1999999999999993</v>
      </c>
      <c r="B62" s="652" t="s">
        <v>2</v>
      </c>
      <c r="C62" s="1288"/>
      <c r="D62" s="670">
        <v>1</v>
      </c>
      <c r="E62" s="1232" t="s">
        <v>553</v>
      </c>
      <c r="F62" s="1296">
        <v>2500</v>
      </c>
      <c r="G62" s="1296">
        <f>IF(F62="-","-",D62*F62)</f>
        <v>2500</v>
      </c>
      <c r="H62" s="1296">
        <v>500</v>
      </c>
      <c r="I62" s="1296">
        <f>IF(H62="-","-",H62*D62)</f>
        <v>500</v>
      </c>
      <c r="J62" s="1284">
        <f>SUM(G62,I62)</f>
        <v>3000</v>
      </c>
      <c r="K62" s="1288"/>
      <c r="L62" s="652">
        <v>0</v>
      </c>
    </row>
    <row r="63" spans="1:14" s="652" customFormat="1" ht="20.25" customHeight="1" x14ac:dyDescent="0.35">
      <c r="A63" s="1286">
        <v>9.3000000000000007</v>
      </c>
      <c r="B63" s="1323" t="s">
        <v>3</v>
      </c>
      <c r="C63" s="1288"/>
      <c r="D63" s="670">
        <v>1</v>
      </c>
      <c r="E63" s="1232" t="s">
        <v>553</v>
      </c>
      <c r="F63" s="1296">
        <v>1000</v>
      </c>
      <c r="G63" s="1296">
        <f>IF(F63="-","-",D63*F63)</f>
        <v>1000</v>
      </c>
      <c r="H63" s="1296">
        <v>0</v>
      </c>
      <c r="I63" s="1296">
        <f>IF(H63="-","-",H63*D63)</f>
        <v>0</v>
      </c>
      <c r="J63" s="1284">
        <f>SUM(G63,I63)</f>
        <v>1000</v>
      </c>
      <c r="K63" s="1288"/>
      <c r="L63" s="652">
        <v>0</v>
      </c>
    </row>
    <row r="64" spans="1:14" s="652" customFormat="1" ht="20.25" customHeight="1" x14ac:dyDescent="0.35">
      <c r="A64" s="1286">
        <v>9.4</v>
      </c>
      <c r="B64" s="652" t="s">
        <v>4</v>
      </c>
      <c r="C64" s="1288"/>
      <c r="D64" s="670">
        <v>1</v>
      </c>
      <c r="E64" s="1302" t="s">
        <v>125</v>
      </c>
      <c r="F64" s="1296">
        <v>1000</v>
      </c>
      <c r="G64" s="1296">
        <f>IF(F64="-","-",D64*F64)</f>
        <v>1000</v>
      </c>
      <c r="H64" s="1296">
        <v>500</v>
      </c>
      <c r="I64" s="1296">
        <f>IF(H64="-","-",H64*D64)</f>
        <v>500</v>
      </c>
      <c r="J64" s="1284">
        <f>SUM(G64,I64)</f>
        <v>1500</v>
      </c>
      <c r="K64" s="1288"/>
      <c r="L64" s="652">
        <v>0</v>
      </c>
    </row>
    <row r="65" spans="1:14" s="652" customFormat="1" ht="20.25" customHeight="1" x14ac:dyDescent="0.35">
      <c r="A65" s="1286"/>
      <c r="C65" s="1288"/>
      <c r="D65" s="670"/>
      <c r="E65" s="1232"/>
      <c r="F65" s="1296"/>
      <c r="G65" s="1296"/>
      <c r="H65" s="1296"/>
      <c r="I65" s="1296"/>
      <c r="J65" s="1284"/>
      <c r="K65" s="1288"/>
    </row>
    <row r="66" spans="1:14" s="652" customFormat="1" ht="20.25" customHeight="1" x14ac:dyDescent="0.35">
      <c r="A66" s="1360"/>
      <c r="B66" s="1305"/>
      <c r="C66" s="1306" t="s">
        <v>373</v>
      </c>
      <c r="D66" s="1307"/>
      <c r="E66" s="1308"/>
      <c r="F66" s="1309"/>
      <c r="G66" s="1310">
        <f>SUM(G38:G64)</f>
        <v>290897.99455</v>
      </c>
      <c r="H66" s="1311"/>
      <c r="I66" s="1310">
        <f>SUM(I38:I64)</f>
        <v>31931.23</v>
      </c>
      <c r="J66" s="1312">
        <f>SUM(J38:J64)</f>
        <v>322829.22454999998</v>
      </c>
      <c r="K66" s="1313"/>
      <c r="N66" s="1299">
        <f>G66*0.2</f>
        <v>58179.598910000001</v>
      </c>
    </row>
    <row r="67" spans="1:14" s="652" customFormat="1" ht="20.25" customHeight="1" x14ac:dyDescent="0.35">
      <c r="A67" s="680"/>
      <c r="B67" s="1314"/>
      <c r="C67" s="1315" t="s">
        <v>405</v>
      </c>
      <c r="D67" s="1316"/>
      <c r="E67" s="682"/>
      <c r="F67" s="1317"/>
      <c r="G67" s="1318"/>
      <c r="H67" s="1319"/>
      <c r="I67" s="1317"/>
      <c r="J67" s="1398">
        <f>J66</f>
        <v>322829.22454999998</v>
      </c>
      <c r="K67" s="1320"/>
    </row>
    <row r="68" spans="1:14" s="652" customFormat="1" ht="20.25" customHeight="1" x14ac:dyDescent="0.35">
      <c r="E68" s="690"/>
    </row>
    <row r="69" spans="1:14" s="652" customFormat="1" ht="20.25" customHeight="1" x14ac:dyDescent="0.35">
      <c r="E69" s="690"/>
    </row>
    <row r="70" spans="1:14" s="652" customFormat="1" ht="20.25" customHeight="1" x14ac:dyDescent="0.35">
      <c r="E70" s="690"/>
    </row>
    <row r="71" spans="1:14" s="652" customFormat="1" ht="20.25" customHeight="1" x14ac:dyDescent="0.35">
      <c r="E71" s="690"/>
    </row>
    <row r="72" spans="1:14" ht="20.25" customHeight="1" x14ac:dyDescent="0.5"/>
    <row r="73" spans="1:14" ht="20.25" customHeight="1" x14ac:dyDescent="0.5"/>
    <row r="74" spans="1:14" ht="20.25" customHeight="1" x14ac:dyDescent="0.5"/>
    <row r="75" spans="1:14" ht="20.25" customHeight="1" x14ac:dyDescent="0.5"/>
    <row r="76" spans="1:14" ht="20.25" customHeight="1" x14ac:dyDescent="0.5"/>
    <row r="77" spans="1:14" ht="20.25" customHeight="1" x14ac:dyDescent="0.5"/>
    <row r="78" spans="1:14" ht="20.25" customHeight="1" x14ac:dyDescent="0.5"/>
    <row r="79" spans="1:14" ht="20.25" customHeight="1" x14ac:dyDescent="0.5"/>
    <row r="80" spans="1:14" ht="20.25" customHeight="1" x14ac:dyDescent="0.5"/>
    <row r="81" ht="20.25" customHeight="1" x14ac:dyDescent="0.5"/>
    <row r="82" ht="20.25" customHeight="1" x14ac:dyDescent="0.5"/>
    <row r="83" ht="20.25" customHeight="1" x14ac:dyDescent="0.5"/>
    <row r="84" ht="20.25" customHeight="1" x14ac:dyDescent="0.5"/>
    <row r="85" ht="20.25" customHeight="1" x14ac:dyDescent="0.5"/>
    <row r="86" ht="20.25" customHeight="1" x14ac:dyDescent="0.5"/>
    <row r="87" ht="20.25" customHeight="1" x14ac:dyDescent="0.5"/>
    <row r="88" ht="20.25" customHeight="1" x14ac:dyDescent="0.5"/>
    <row r="89" ht="20.25" customHeight="1" x14ac:dyDescent="0.5"/>
    <row r="90" ht="20.25" customHeight="1" x14ac:dyDescent="0.5"/>
    <row r="91" ht="20.25" customHeight="1" x14ac:dyDescent="0.5"/>
    <row r="92" ht="20.25" customHeight="1" x14ac:dyDescent="0.5"/>
    <row r="93" ht="20.25" customHeight="1" x14ac:dyDescent="0.5"/>
    <row r="94" ht="20.25" customHeight="1" x14ac:dyDescent="0.5"/>
    <row r="95" ht="20.25" customHeight="1" x14ac:dyDescent="0.5"/>
    <row r="96" ht="20.25" customHeight="1" x14ac:dyDescent="0.5"/>
    <row r="97" ht="20.25" customHeight="1" x14ac:dyDescent="0.5"/>
    <row r="98" ht="20.25" customHeight="1" x14ac:dyDescent="0.5"/>
    <row r="99" ht="20.25" customHeight="1" x14ac:dyDescent="0.5"/>
    <row r="100" ht="20.25" customHeight="1" x14ac:dyDescent="0.5"/>
    <row r="101" ht="20.25" customHeight="1" x14ac:dyDescent="0.5"/>
    <row r="102" ht="20.25" customHeight="1" x14ac:dyDescent="0.5"/>
    <row r="103" ht="20.25" customHeight="1" x14ac:dyDescent="0.5"/>
    <row r="104" ht="20.25" customHeight="1" x14ac:dyDescent="0.5"/>
    <row r="105" ht="20.25" customHeight="1" x14ac:dyDescent="0.5"/>
    <row r="106" ht="20.25" customHeight="1" x14ac:dyDescent="0.5"/>
    <row r="107" ht="20.25" customHeight="1" x14ac:dyDescent="0.5"/>
    <row r="108" ht="21.75" customHeight="1" x14ac:dyDescent="0.5"/>
    <row r="109" ht="21.75" customHeight="1" x14ac:dyDescent="0.5"/>
    <row r="110" ht="21.75" customHeight="1" x14ac:dyDescent="0.5"/>
    <row r="111" ht="21.75" customHeight="1" x14ac:dyDescent="0.5"/>
    <row r="112" ht="21.75" customHeight="1" x14ac:dyDescent="0.5"/>
    <row r="113" ht="21.75" customHeight="1" x14ac:dyDescent="0.5"/>
    <row r="114" ht="21.75" customHeight="1" x14ac:dyDescent="0.5"/>
    <row r="115" ht="21.75" customHeight="1" x14ac:dyDescent="0.5"/>
    <row r="116" ht="21.75" customHeight="1" x14ac:dyDescent="0.5"/>
    <row r="117" ht="21.75" customHeight="1" x14ac:dyDescent="0.5"/>
    <row r="118" ht="21.75" customHeight="1" x14ac:dyDescent="0.5"/>
    <row r="119" ht="21.75" customHeight="1" x14ac:dyDescent="0.5"/>
    <row r="120" ht="21.75" customHeight="1" x14ac:dyDescent="0.5"/>
    <row r="121" ht="21.75" customHeight="1" x14ac:dyDescent="0.5"/>
    <row r="122" ht="21.75" customHeight="1" x14ac:dyDescent="0.5"/>
    <row r="123" ht="21.75" customHeight="1" x14ac:dyDescent="0.5"/>
    <row r="124" ht="21.75" customHeight="1" x14ac:dyDescent="0.5"/>
    <row r="125" ht="21.75" customHeight="1" x14ac:dyDescent="0.5"/>
    <row r="126" ht="21.75" customHeight="1" x14ac:dyDescent="0.5"/>
    <row r="127" ht="21.75" customHeight="1" x14ac:dyDescent="0.5"/>
    <row r="128" ht="21.75" customHeight="1" x14ac:dyDescent="0.5"/>
  </sheetData>
  <phoneticPr fontId="27" type="noConversion"/>
  <printOptions horizontalCentered="1"/>
  <pageMargins left="0.25" right="0.25" top="0.75" bottom="0.75" header="0.3" footer="0.3"/>
  <pageSetup paperSize="9" scale="93" orientation="portrait" r:id="rId1"/>
  <headerFooter alignWithMargins="0">
    <oddHeader>&amp;Rแบบ ปร.4 แผ่นที่ &amp;P/2</oddHeader>
  </headerFooter>
  <rowBreaks count="1" manualBreakCount="1">
    <brk id="37" max="10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BreakPreview" topLeftCell="A10" zoomScale="110" zoomScaleNormal="120" zoomScaleSheetLayoutView="110" workbookViewId="0">
      <selection activeCell="J25" sqref="J25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8.75" style="272" customWidth="1"/>
    <col min="4" max="4" width="5.25" style="272" customWidth="1"/>
    <col min="5" max="5" width="6.25" style="272" customWidth="1"/>
    <col min="6" max="6" width="11.125" style="272" customWidth="1"/>
    <col min="7" max="7" width="8.75" style="272" customWidth="1"/>
    <col min="8" max="8" width="10.375" style="272" customWidth="1"/>
    <col min="9" max="11" width="8.75" style="272" customWidth="1"/>
    <col min="12" max="12" width="1.375" style="272" customWidth="1"/>
    <col min="13" max="13" width="9.125" style="301"/>
    <col min="14" max="16384" width="9.125" style="272"/>
  </cols>
  <sheetData>
    <row r="1" spans="1:13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  <c r="M1" s="690"/>
    </row>
    <row r="2" spans="1:13" s="652" customFormat="1" ht="23.25" customHeight="1" x14ac:dyDescent="0.35">
      <c r="A2" s="644" t="s">
        <v>822</v>
      </c>
      <c r="B2" s="645"/>
      <c r="C2" s="646" t="s">
        <v>824</v>
      </c>
      <c r="D2" s="647"/>
      <c r="E2" s="645"/>
      <c r="F2" s="648"/>
      <c r="G2" s="649"/>
      <c r="H2" s="649"/>
      <c r="I2" s="653"/>
      <c r="J2" s="654"/>
      <c r="K2" s="651"/>
      <c r="M2" s="690"/>
    </row>
    <row r="3" spans="1:13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/>
      <c r="J3" s="691"/>
      <c r="K3" s="661"/>
      <c r="M3" s="690"/>
    </row>
    <row r="4" spans="1:13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  <c r="M4" s="690"/>
    </row>
    <row r="5" spans="1:13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  <c r="M5" s="690"/>
    </row>
    <row r="6" spans="1:13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  <c r="M6" s="690"/>
    </row>
    <row r="7" spans="1:13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  <c r="M7" s="690"/>
    </row>
    <row r="8" spans="1:13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  <c r="M8" s="690"/>
    </row>
    <row r="9" spans="1:13" s="652" customFormat="1" ht="21.75" customHeight="1" x14ac:dyDescent="0.35">
      <c r="A9" s="1286"/>
      <c r="B9" s="1399" t="s">
        <v>730</v>
      </c>
      <c r="C9" s="1351"/>
      <c r="D9" s="1287"/>
      <c r="E9" s="1342"/>
      <c r="F9" s="1400"/>
      <c r="G9" s="1297"/>
      <c r="H9" s="1297"/>
      <c r="I9" s="1297"/>
      <c r="J9" s="1288"/>
      <c r="K9" s="1288"/>
      <c r="M9" s="690"/>
    </row>
    <row r="10" spans="1:13" s="652" customFormat="1" ht="21.75" customHeight="1" x14ac:dyDescent="0.35">
      <c r="A10" s="1401" t="s">
        <v>420</v>
      </c>
      <c r="B10" s="1287" t="str">
        <f>[1]GS.!$B$9</f>
        <v>ท่อเหล็กอาบสังกะสี+ข้อต่อยาว6ม. dia 3"</v>
      </c>
      <c r="C10" s="1288"/>
      <c r="D10" s="1287">
        <v>0</v>
      </c>
      <c r="E10" s="1290" t="s">
        <v>179</v>
      </c>
      <c r="F10" s="1296">
        <v>2015</v>
      </c>
      <c r="G10" s="1297">
        <f t="shared" ref="G10:G15" si="0">IF(F10="-","-",D10*F10)</f>
        <v>0</v>
      </c>
      <c r="H10" s="1297">
        <v>150</v>
      </c>
      <c r="I10" s="1297">
        <f>IF(H10="-","-",D10*H10)</f>
        <v>0</v>
      </c>
      <c r="J10" s="1284">
        <f t="shared" ref="J10:J15" si="1">SUM(G10,I10)</f>
        <v>0</v>
      </c>
      <c r="K10" s="1285"/>
      <c r="M10" s="690"/>
    </row>
    <row r="11" spans="1:13" s="652" customFormat="1" ht="21.75" customHeight="1" x14ac:dyDescent="0.35">
      <c r="A11" s="1401" t="s">
        <v>421</v>
      </c>
      <c r="B11" s="1287" t="str">
        <f>[1]GS.!$B$7</f>
        <v>ท่อเหล็กอาบสังกะสี+ข้อต่อยาว6ม. dia 2"</v>
      </c>
      <c r="C11" s="1288"/>
      <c r="D11" s="1346">
        <v>1</v>
      </c>
      <c r="E11" s="1290" t="s">
        <v>179</v>
      </c>
      <c r="F11" s="1296">
        <v>706.54</v>
      </c>
      <c r="G11" s="1297">
        <f t="shared" si="0"/>
        <v>706.54</v>
      </c>
      <c r="H11" s="1297">
        <v>113</v>
      </c>
      <c r="I11" s="1297">
        <f>IF(H11="-","-",D11*H11)</f>
        <v>113</v>
      </c>
      <c r="J11" s="1284">
        <f t="shared" si="1"/>
        <v>819.54</v>
      </c>
      <c r="K11" s="1285"/>
      <c r="M11" s="690" t="s">
        <v>1813</v>
      </c>
    </row>
    <row r="12" spans="1:13" s="652" customFormat="1" ht="21.75" customHeight="1" x14ac:dyDescent="0.35">
      <c r="A12" s="1401" t="s">
        <v>422</v>
      </c>
      <c r="B12" s="1287" t="str">
        <f>[1]GS.!$B$64</f>
        <v>ข้อโค้งเหล็กอาบสังกะสี 90 ม-ม dia 3"</v>
      </c>
      <c r="C12" s="1288"/>
      <c r="D12" s="1287">
        <v>0</v>
      </c>
      <c r="E12" s="1290" t="s">
        <v>717</v>
      </c>
      <c r="F12" s="1296">
        <v>426</v>
      </c>
      <c r="G12" s="1297">
        <f t="shared" si="0"/>
        <v>0</v>
      </c>
      <c r="H12" s="1296" t="s">
        <v>418</v>
      </c>
      <c r="I12" s="1296" t="s">
        <v>418</v>
      </c>
      <c r="J12" s="1284">
        <f t="shared" si="1"/>
        <v>0</v>
      </c>
      <c r="K12" s="1288"/>
      <c r="M12" s="690"/>
    </row>
    <row r="13" spans="1:13" s="652" customFormat="1" ht="21.75" customHeight="1" x14ac:dyDescent="0.35">
      <c r="A13" s="1401" t="s">
        <v>423</v>
      </c>
      <c r="B13" s="1287" t="str">
        <f>[1]GS.!$B$62</f>
        <v>ข้อโค้งเหล็กอาบสังกะสี 90 ม-ม dia 2"</v>
      </c>
      <c r="C13" s="1288"/>
      <c r="D13" s="1287">
        <v>0</v>
      </c>
      <c r="E13" s="1290" t="s">
        <v>717</v>
      </c>
      <c r="F13" s="1296">
        <v>146</v>
      </c>
      <c r="G13" s="1297">
        <f t="shared" si="0"/>
        <v>0</v>
      </c>
      <c r="H13" s="1296" t="s">
        <v>418</v>
      </c>
      <c r="I13" s="1296" t="s">
        <v>418</v>
      </c>
      <c r="J13" s="1284">
        <f t="shared" si="1"/>
        <v>0</v>
      </c>
      <c r="K13" s="1288"/>
      <c r="M13" s="690"/>
    </row>
    <row r="14" spans="1:13" s="652" customFormat="1" ht="21.75" customHeight="1" x14ac:dyDescent="0.35">
      <c r="A14" s="1401" t="s">
        <v>424</v>
      </c>
      <c r="B14" s="1287" t="s">
        <v>1708</v>
      </c>
      <c r="C14" s="1288"/>
      <c r="D14" s="1287"/>
      <c r="E14" s="1290" t="s">
        <v>179</v>
      </c>
      <c r="F14" s="1296">
        <v>247.66</v>
      </c>
      <c r="G14" s="1297">
        <f t="shared" si="0"/>
        <v>0</v>
      </c>
      <c r="H14" s="1297">
        <v>41</v>
      </c>
      <c r="I14" s="1297">
        <f>IF(H14="-","-",D14*H14)</f>
        <v>0</v>
      </c>
      <c r="J14" s="1284">
        <f t="shared" si="1"/>
        <v>0</v>
      </c>
      <c r="K14" s="1288"/>
      <c r="M14" s="1402">
        <f>D14*6.26</f>
        <v>0</v>
      </c>
    </row>
    <row r="15" spans="1:13" s="652" customFormat="1" ht="21.75" customHeight="1" x14ac:dyDescent="0.35">
      <c r="A15" s="1401" t="s">
        <v>444</v>
      </c>
      <c r="B15" s="1293" t="s">
        <v>565</v>
      </c>
      <c r="C15" s="1288"/>
      <c r="D15" s="1289">
        <v>1</v>
      </c>
      <c r="E15" s="1403" t="s">
        <v>125</v>
      </c>
      <c r="F15" s="1296">
        <v>100</v>
      </c>
      <c r="G15" s="1297">
        <f t="shared" si="0"/>
        <v>100</v>
      </c>
      <c r="H15" s="1297"/>
      <c r="I15" s="1297"/>
      <c r="J15" s="1284">
        <f t="shared" si="1"/>
        <v>100</v>
      </c>
      <c r="K15" s="1288"/>
      <c r="M15" s="690"/>
    </row>
    <row r="16" spans="1:13" s="652" customFormat="1" ht="21.75" customHeight="1" x14ac:dyDescent="0.35">
      <c r="A16" s="1286"/>
      <c r="B16" s="1404" t="s">
        <v>310</v>
      </c>
      <c r="C16" s="1288"/>
      <c r="D16" s="1287"/>
      <c r="E16" s="1290"/>
      <c r="F16" s="1296"/>
      <c r="G16" s="1297"/>
      <c r="H16" s="1297"/>
      <c r="I16" s="1297"/>
      <c r="J16" s="1288"/>
      <c r="K16" s="1288"/>
      <c r="M16" s="690"/>
    </row>
    <row r="17" spans="1:13" s="652" customFormat="1" ht="21.75" customHeight="1" x14ac:dyDescent="0.35">
      <c r="A17" s="1401" t="s">
        <v>412</v>
      </c>
      <c r="B17" s="1287" t="str">
        <f t="array" ref="B17:B18">'[1]อื่น ๆ'!$B$53:$B$54</f>
        <v xml:space="preserve">สายยางอ่อน dia. 1/2 "   </v>
      </c>
      <c r="C17" s="1351"/>
      <c r="D17" s="1287">
        <v>0</v>
      </c>
      <c r="E17" s="1290" t="s">
        <v>633</v>
      </c>
      <c r="F17" s="1296">
        <v>10</v>
      </c>
      <c r="G17" s="1297">
        <f>IF(F17="-","-",D17*F17)</f>
        <v>0</v>
      </c>
      <c r="H17" s="1296" t="s">
        <v>418</v>
      </c>
      <c r="I17" s="1296" t="s">
        <v>418</v>
      </c>
      <c r="J17" s="1284">
        <f>SUM(G17,I17)</f>
        <v>0</v>
      </c>
      <c r="K17" s="1288"/>
      <c r="M17" s="690"/>
    </row>
    <row r="18" spans="1:13" s="652" customFormat="1" ht="21.75" customHeight="1" x14ac:dyDescent="0.35">
      <c r="A18" s="1401" t="s">
        <v>413</v>
      </c>
      <c r="B18" s="1287" t="str">
        <v>เสารับท่อส่งน้ำดิบ ด้านทางดูดน้ำ</v>
      </c>
      <c r="C18" s="1288"/>
      <c r="D18" s="1287">
        <v>0</v>
      </c>
      <c r="E18" s="1290" t="s">
        <v>102</v>
      </c>
      <c r="F18" s="1296">
        <v>3600</v>
      </c>
      <c r="G18" s="1297">
        <f>IF(F18="-","-",D18*F18)</f>
        <v>0</v>
      </c>
      <c r="H18" s="1296">
        <v>1000</v>
      </c>
      <c r="I18" s="1296">
        <f>IF(H18="-","-",H18*D18)</f>
        <v>0</v>
      </c>
      <c r="J18" s="1284">
        <f>SUM(G18,I18)</f>
        <v>0</v>
      </c>
      <c r="K18" s="1288"/>
      <c r="M18" s="690"/>
    </row>
    <row r="19" spans="1:13" s="652" customFormat="1" ht="21.75" customHeight="1" x14ac:dyDescent="0.35">
      <c r="A19" s="1286"/>
      <c r="B19" s="1404" t="s">
        <v>311</v>
      </c>
      <c r="C19" s="1288"/>
      <c r="D19" s="1287" t="s">
        <v>741</v>
      </c>
      <c r="E19" s="1290"/>
      <c r="F19" s="1296"/>
      <c r="G19" s="1297"/>
      <c r="H19" s="1296"/>
      <c r="I19" s="1296"/>
      <c r="J19" s="1284"/>
      <c r="K19" s="1288"/>
      <c r="M19" s="690"/>
    </row>
    <row r="20" spans="1:13" s="652" customFormat="1" ht="21.75" customHeight="1" x14ac:dyDescent="0.35">
      <c r="A20" s="1401" t="s">
        <v>414</v>
      </c>
      <c r="B20" s="1287" t="s">
        <v>295</v>
      </c>
      <c r="C20" s="1351"/>
      <c r="D20" s="1287">
        <v>0</v>
      </c>
      <c r="E20" s="1290" t="s">
        <v>553</v>
      </c>
      <c r="F20" s="1296">
        <v>1900</v>
      </c>
      <c r="G20" s="1297">
        <f>IF(F20="-","-",D20*F20)</f>
        <v>0</v>
      </c>
      <c r="H20" s="1296">
        <v>50</v>
      </c>
      <c r="I20" s="1296">
        <f>IF(H20="-","-",H20*D20)</f>
        <v>0</v>
      </c>
      <c r="J20" s="1284">
        <f>SUM(G20,I20)</f>
        <v>0</v>
      </c>
      <c r="K20" s="1288"/>
      <c r="M20" s="690"/>
    </row>
    <row r="21" spans="1:13" s="652" customFormat="1" ht="21.75" customHeight="1" x14ac:dyDescent="0.35">
      <c r="A21" s="1401"/>
      <c r="B21" s="1287"/>
      <c r="C21" s="1351"/>
      <c r="D21" s="1287"/>
      <c r="E21" s="1290"/>
      <c r="F21" s="1296"/>
      <c r="G21" s="1297"/>
      <c r="H21" s="1296"/>
      <c r="I21" s="1296"/>
      <c r="J21" s="1284"/>
      <c r="K21" s="1288"/>
      <c r="M21" s="690"/>
    </row>
    <row r="22" spans="1:13" s="652" customFormat="1" ht="21.75" customHeight="1" x14ac:dyDescent="0.35">
      <c r="A22" s="1401"/>
      <c r="B22" s="1287"/>
      <c r="C22" s="1288"/>
      <c r="D22" s="1287" t="s">
        <v>741</v>
      </c>
      <c r="E22" s="1290"/>
      <c r="F22" s="1296"/>
      <c r="G22" s="1297" t="s">
        <v>741</v>
      </c>
      <c r="H22" s="1296"/>
      <c r="I22" s="1296"/>
      <c r="J22" s="1288"/>
      <c r="K22" s="1288"/>
      <c r="M22" s="690"/>
    </row>
    <row r="23" spans="1:13" s="652" customFormat="1" ht="21.75" customHeight="1" x14ac:dyDescent="0.35">
      <c r="A23" s="1304"/>
      <c r="B23" s="1305"/>
      <c r="C23" s="1306" t="s">
        <v>373</v>
      </c>
      <c r="D23" s="1307"/>
      <c r="E23" s="1308"/>
      <c r="F23" s="1309"/>
      <c r="G23" s="1310">
        <f>SUM(G9:G22)</f>
        <v>806.54</v>
      </c>
      <c r="H23" s="1311"/>
      <c r="I23" s="1310">
        <f>SUM(I9:I22)</f>
        <v>113</v>
      </c>
      <c r="J23" s="1312">
        <f>SUM(J9:J22)</f>
        <v>919.54</v>
      </c>
      <c r="K23" s="1405"/>
      <c r="M23" s="690">
        <f>SUM(M10:M14)</f>
        <v>0</v>
      </c>
    </row>
    <row r="24" spans="1:13" s="652" customFormat="1" ht="21.75" customHeight="1" x14ac:dyDescent="0.35">
      <c r="A24" s="680"/>
      <c r="B24" s="1314"/>
      <c r="C24" s="1315" t="s">
        <v>405</v>
      </c>
      <c r="D24" s="1316"/>
      <c r="E24" s="682"/>
      <c r="F24" s="1317"/>
      <c r="G24" s="1318"/>
      <c r="H24" s="1319"/>
      <c r="I24" s="1318"/>
      <c r="J24" s="1398">
        <f>J23</f>
        <v>919.54</v>
      </c>
      <c r="K24" s="1406"/>
      <c r="M24" s="690"/>
    </row>
    <row r="25" spans="1:13" s="652" customFormat="1" ht="21.75" customHeight="1" x14ac:dyDescent="0.35">
      <c r="M25" s="690"/>
    </row>
  </sheetData>
  <phoneticPr fontId="27" type="noConversion"/>
  <printOptions horizontalCentered="1"/>
  <pageMargins left="0.25" right="0.25" top="0.75" bottom="0.75" header="0.3" footer="0.3"/>
  <pageSetup paperSize="9" orientation="portrait" r:id="rId1"/>
  <headerFooter alignWithMargins="0">
    <oddHeader xml:space="preserve">&amp;Rแบบ ปร.4 แผ่นที่ &amp;P/1 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view="pageBreakPreview" topLeftCell="A25" zoomScale="110" zoomScaleNormal="130" zoomScaleSheetLayoutView="110" workbookViewId="0">
      <selection activeCell="J35" sqref="J35"/>
    </sheetView>
  </sheetViews>
  <sheetFormatPr defaultColWidth="9.125" defaultRowHeight="21" x14ac:dyDescent="0.6"/>
  <cols>
    <col min="1" max="1" width="5" style="321" customWidth="1"/>
    <col min="2" max="2" width="14.75" style="321" customWidth="1"/>
    <col min="3" max="3" width="20.125" style="321" customWidth="1"/>
    <col min="4" max="4" width="4.25" style="321" customWidth="1"/>
    <col min="5" max="5" width="6.625" style="321" customWidth="1"/>
    <col min="6" max="6" width="10.75" style="321" customWidth="1"/>
    <col min="7" max="7" width="9.875" style="321" customWidth="1"/>
    <col min="8" max="8" width="9.25" style="321" customWidth="1"/>
    <col min="9" max="9" width="10.75" style="321" customWidth="1"/>
    <col min="10" max="10" width="10.25" style="321" customWidth="1"/>
    <col min="11" max="11" width="7.75" style="321" customWidth="1"/>
    <col min="12" max="12" width="10.875" style="321" customWidth="1"/>
    <col min="13" max="13" width="10.125" style="321" customWidth="1"/>
    <col min="14" max="14" width="10.125" style="321" bestFit="1" customWidth="1"/>
    <col min="15" max="15" width="10" style="321" bestFit="1" customWidth="1"/>
    <col min="16" max="16" width="9.25" style="321" bestFit="1" customWidth="1"/>
    <col min="17" max="17" width="10.125" style="321" bestFit="1" customWidth="1"/>
    <col min="18" max="18" width="11.375" style="321" bestFit="1" customWidth="1"/>
    <col min="19" max="19" width="10.125" style="321" bestFit="1" customWidth="1"/>
    <col min="20" max="16384" width="9.125" style="321"/>
  </cols>
  <sheetData>
    <row r="1" spans="1:19" s="1256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46"/>
    </row>
    <row r="2" spans="1:19" s="1256" customFormat="1" ht="23.25" customHeight="1" x14ac:dyDescent="0.35">
      <c r="A2" s="644" t="s">
        <v>822</v>
      </c>
      <c r="B2" s="645"/>
      <c r="C2" s="646" t="s">
        <v>823</v>
      </c>
      <c r="D2" s="647"/>
      <c r="E2" s="645"/>
      <c r="F2" s="648"/>
      <c r="G2" s="649"/>
      <c r="H2" s="649"/>
      <c r="I2" s="653"/>
      <c r="J2" s="654"/>
      <c r="K2" s="646"/>
    </row>
    <row r="3" spans="1:19" s="1256" customFormat="1" ht="23.25" customHeight="1" x14ac:dyDescent="0.35">
      <c r="A3" s="1113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92"/>
      <c r="C3" s="693"/>
      <c r="D3" s="694"/>
      <c r="E3" s="694"/>
      <c r="F3" s="692"/>
      <c r="G3" s="692"/>
      <c r="H3" s="692"/>
      <c r="I3" s="695"/>
      <c r="J3" s="696"/>
      <c r="K3" s="697"/>
    </row>
    <row r="4" spans="1:19" s="1256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98"/>
      <c r="K4" s="1257"/>
    </row>
    <row r="5" spans="1:19" s="1256" customFormat="1" ht="18" customHeight="1" x14ac:dyDescent="0.35">
      <c r="A5" s="644"/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99"/>
      <c r="K5" s="1258"/>
    </row>
    <row r="6" spans="1:19" s="1256" customFormat="1" ht="20.399999999999999" customHeight="1" x14ac:dyDescent="0.35">
      <c r="A6" s="700"/>
      <c r="B6" s="701"/>
      <c r="C6" s="701"/>
      <c r="D6" s="702"/>
      <c r="E6" s="701"/>
      <c r="F6" s="703"/>
      <c r="G6" s="704"/>
      <c r="H6" s="704"/>
      <c r="I6" s="703"/>
      <c r="J6" s="705"/>
      <c r="K6" s="1259" t="s">
        <v>808</v>
      </c>
    </row>
    <row r="7" spans="1:19" s="1256" customFormat="1" ht="18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9" s="1256" customFormat="1" ht="18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1212" t="s">
        <v>404</v>
      </c>
      <c r="I8" s="687" t="s">
        <v>381</v>
      </c>
      <c r="J8" s="680" t="s">
        <v>491</v>
      </c>
      <c r="K8" s="1260"/>
    </row>
    <row r="9" spans="1:19" s="652" customFormat="1" ht="21" customHeight="1" x14ac:dyDescent="0.35">
      <c r="A9" s="1298">
        <v>1</v>
      </c>
      <c r="B9" s="1287" t="s">
        <v>1645</v>
      </c>
      <c r="C9" s="1288"/>
      <c r="D9" s="1289">
        <v>0</v>
      </c>
      <c r="E9" s="1290" t="s">
        <v>179</v>
      </c>
      <c r="F9" s="1296">
        <v>598</v>
      </c>
      <c r="G9" s="1284">
        <f t="shared" ref="G9:G14" si="0">IF(F9="-","-",D9*F9)</f>
        <v>0</v>
      </c>
      <c r="H9" s="1297">
        <v>160</v>
      </c>
      <c r="I9" s="1291">
        <f>IF(H9="-","-",H9*D9)</f>
        <v>0</v>
      </c>
      <c r="J9" s="1284">
        <f t="shared" ref="J9:J26" si="1">SUM(G9,I9)</f>
        <v>0</v>
      </c>
      <c r="K9" s="1297"/>
      <c r="L9" s="1300">
        <f>D9*10.17</f>
        <v>0</v>
      </c>
    </row>
    <row r="10" spans="1:19" s="652" customFormat="1" ht="19.95" customHeight="1" x14ac:dyDescent="0.35">
      <c r="A10" s="1298">
        <v>2</v>
      </c>
      <c r="B10" s="652" t="s">
        <v>1646</v>
      </c>
      <c r="D10" s="1289">
        <v>0</v>
      </c>
      <c r="E10" s="1290" t="s">
        <v>179</v>
      </c>
      <c r="F10" s="1296">
        <v>369</v>
      </c>
      <c r="G10" s="1291">
        <f t="shared" si="0"/>
        <v>0</v>
      </c>
      <c r="H10" s="1297">
        <v>120</v>
      </c>
      <c r="I10" s="1291">
        <f t="shared" ref="I10:I15" si="2">IF(H10="-","-",H10*D10)</f>
        <v>0</v>
      </c>
      <c r="J10" s="1284">
        <f t="shared" si="1"/>
        <v>0</v>
      </c>
      <c r="K10" s="1297"/>
      <c r="L10" s="1300">
        <f>D10*6.26</f>
        <v>0</v>
      </c>
    </row>
    <row r="11" spans="1:19" s="652" customFormat="1" ht="21" customHeight="1" x14ac:dyDescent="0.35">
      <c r="A11" s="1298">
        <v>3</v>
      </c>
      <c r="B11" s="652" t="s">
        <v>1647</v>
      </c>
      <c r="D11" s="1289">
        <v>25</v>
      </c>
      <c r="E11" s="1290" t="s">
        <v>179</v>
      </c>
      <c r="F11" s="1296">
        <v>161.68</v>
      </c>
      <c r="G11" s="1291">
        <f>IF(F11="-","-",D11*F11)</f>
        <v>4042</v>
      </c>
      <c r="H11" s="1297">
        <v>41</v>
      </c>
      <c r="I11" s="1291">
        <f t="shared" si="2"/>
        <v>1025</v>
      </c>
      <c r="J11" s="1284">
        <f t="shared" si="1"/>
        <v>5067</v>
      </c>
      <c r="K11" s="1297"/>
      <c r="L11" s="1300">
        <f>D11*2.98</f>
        <v>74.5</v>
      </c>
      <c r="M11" s="652" t="s">
        <v>1813</v>
      </c>
    </row>
    <row r="12" spans="1:19" s="652" customFormat="1" ht="20.399999999999999" customHeight="1" x14ac:dyDescent="0.35">
      <c r="A12" s="1298">
        <v>4</v>
      </c>
      <c r="B12" s="1287" t="s">
        <v>109</v>
      </c>
      <c r="C12" s="1288"/>
      <c r="D12" s="1325">
        <v>1</v>
      </c>
      <c r="E12" s="1403" t="s">
        <v>106</v>
      </c>
      <c r="F12" s="1296">
        <v>420</v>
      </c>
      <c r="G12" s="1291">
        <f t="shared" si="0"/>
        <v>420</v>
      </c>
      <c r="H12" s="1297">
        <v>0</v>
      </c>
      <c r="I12" s="1291">
        <f t="shared" si="2"/>
        <v>0</v>
      </c>
      <c r="J12" s="1284">
        <f t="shared" si="1"/>
        <v>420</v>
      </c>
      <c r="K12" s="1297"/>
      <c r="L12" s="1300">
        <f>D12*1</f>
        <v>1</v>
      </c>
      <c r="M12" s="652">
        <v>0</v>
      </c>
    </row>
    <row r="13" spans="1:19" s="652" customFormat="1" ht="21.6" customHeight="1" x14ac:dyDescent="0.35">
      <c r="A13" s="1298">
        <v>5</v>
      </c>
      <c r="B13" s="1293" t="s">
        <v>634</v>
      </c>
      <c r="C13" s="1288"/>
      <c r="D13" s="1289">
        <v>1</v>
      </c>
      <c r="E13" s="1302" t="s">
        <v>125</v>
      </c>
      <c r="F13" s="1296">
        <f>SUM(G8:G12)*0.05</f>
        <v>223.10000000000002</v>
      </c>
      <c r="G13" s="1291">
        <f t="shared" si="0"/>
        <v>223.10000000000002</v>
      </c>
      <c r="H13" s="1297">
        <v>0</v>
      </c>
      <c r="I13" s="1291">
        <f t="shared" si="2"/>
        <v>0</v>
      </c>
      <c r="J13" s="1284">
        <f t="shared" si="1"/>
        <v>223.10000000000002</v>
      </c>
      <c r="K13" s="1297"/>
      <c r="L13" s="1300">
        <f>F13/100</f>
        <v>2.2310000000000003</v>
      </c>
    </row>
    <row r="14" spans="1:19" s="652" customFormat="1" ht="21" customHeight="1" x14ac:dyDescent="0.35">
      <c r="A14" s="1298">
        <v>6</v>
      </c>
      <c r="B14" s="1411" t="s">
        <v>1790</v>
      </c>
      <c r="C14" s="1288"/>
      <c r="D14" s="1412">
        <v>1</v>
      </c>
      <c r="E14" s="1302" t="s">
        <v>719</v>
      </c>
      <c r="F14" s="1296">
        <v>125</v>
      </c>
      <c r="G14" s="1291">
        <f t="shared" si="0"/>
        <v>125</v>
      </c>
      <c r="H14" s="1297">
        <v>0</v>
      </c>
      <c r="I14" s="1291">
        <f t="shared" si="2"/>
        <v>0</v>
      </c>
      <c r="J14" s="1284">
        <f t="shared" si="1"/>
        <v>125</v>
      </c>
      <c r="K14" s="1297"/>
      <c r="L14" s="1300"/>
      <c r="M14" s="652">
        <v>0</v>
      </c>
    </row>
    <row r="15" spans="1:19" s="652" customFormat="1" ht="19.95" customHeight="1" x14ac:dyDescent="0.35">
      <c r="A15" s="1301">
        <v>7</v>
      </c>
      <c r="B15" s="652" t="s">
        <v>1777</v>
      </c>
      <c r="C15" s="1288"/>
      <c r="E15" s="1302" t="s">
        <v>719</v>
      </c>
      <c r="F15" s="1296">
        <v>120</v>
      </c>
      <c r="G15" s="1297">
        <f t="shared" ref="G15:G26" si="3">D15*F15</f>
        <v>0</v>
      </c>
      <c r="H15" s="1297">
        <v>0</v>
      </c>
      <c r="I15" s="1291">
        <f t="shared" si="2"/>
        <v>0</v>
      </c>
      <c r="J15" s="1284">
        <f t="shared" si="1"/>
        <v>0</v>
      </c>
      <c r="K15" s="1303"/>
      <c r="L15" s="1300">
        <f>D15*121.8</f>
        <v>0</v>
      </c>
      <c r="N15" s="652">
        <f>4224+691.94</f>
        <v>4915.9400000000005</v>
      </c>
      <c r="O15" s="652">
        <f>28.23*6</f>
        <v>169.38</v>
      </c>
      <c r="P15" s="652">
        <f>15000/O15</f>
        <v>88.558271342543392</v>
      </c>
      <c r="Q15" s="652">
        <f>15000/P15</f>
        <v>169.38</v>
      </c>
      <c r="R15" s="652" t="s">
        <v>751</v>
      </c>
      <c r="S15" s="652">
        <f>N15+Q15</f>
        <v>5085.3200000000006</v>
      </c>
    </row>
    <row r="16" spans="1:19" s="652" customFormat="1" ht="23.25" customHeight="1" x14ac:dyDescent="0.35">
      <c r="A16" s="1301">
        <v>8</v>
      </c>
      <c r="B16" s="652" t="s">
        <v>1778</v>
      </c>
      <c r="D16" s="1287"/>
      <c r="E16" s="1302" t="s">
        <v>719</v>
      </c>
      <c r="F16" s="1296">
        <v>56</v>
      </c>
      <c r="G16" s="1297">
        <f t="shared" si="3"/>
        <v>0</v>
      </c>
      <c r="H16" s="1297">
        <v>0</v>
      </c>
      <c r="I16" s="1297">
        <f t="shared" ref="I16:I26" si="4">D16*H16</f>
        <v>0</v>
      </c>
      <c r="J16" s="1284">
        <f t="shared" si="1"/>
        <v>0</v>
      </c>
      <c r="K16" s="1303"/>
      <c r="L16" s="1300">
        <f>D16*102.6</f>
        <v>0</v>
      </c>
      <c r="N16" s="652">
        <f>3559+534.47</f>
        <v>4093.4700000000003</v>
      </c>
      <c r="O16" s="652">
        <f>21.75*6</f>
        <v>130.5</v>
      </c>
      <c r="P16" s="652">
        <f t="shared" ref="P16:Q20" si="5">15000/O16</f>
        <v>114.94252873563218</v>
      </c>
      <c r="Q16" s="652">
        <f t="shared" si="5"/>
        <v>130.5</v>
      </c>
      <c r="S16" s="652">
        <f t="shared" ref="S16:S20" si="6">N16+Q16</f>
        <v>4223.97</v>
      </c>
    </row>
    <row r="17" spans="1:19" s="652" customFormat="1" ht="23.25" customHeight="1" x14ac:dyDescent="0.35">
      <c r="A17" s="1301">
        <v>9</v>
      </c>
      <c r="B17" s="652" t="s">
        <v>1779</v>
      </c>
      <c r="C17" s="1288"/>
      <c r="E17" s="1232" t="s">
        <v>717</v>
      </c>
      <c r="F17" s="1296">
        <v>8500</v>
      </c>
      <c r="G17" s="1297">
        <f t="shared" si="3"/>
        <v>0</v>
      </c>
      <c r="H17" s="1297">
        <v>250</v>
      </c>
      <c r="I17" s="1297">
        <f t="shared" si="4"/>
        <v>0</v>
      </c>
      <c r="J17" s="1284">
        <f t="shared" si="1"/>
        <v>0</v>
      </c>
      <c r="K17" s="1303"/>
      <c r="L17" s="1300">
        <f>D17*75</f>
        <v>0</v>
      </c>
      <c r="N17" s="652">
        <f>2616+236.93</f>
        <v>2852.93</v>
      </c>
      <c r="O17" s="652">
        <f>16.06*6</f>
        <v>96.359999999999985</v>
      </c>
      <c r="P17" s="652">
        <f t="shared" si="5"/>
        <v>155.66625155666253</v>
      </c>
      <c r="Q17" s="652">
        <f t="shared" si="5"/>
        <v>96.359999999999985</v>
      </c>
      <c r="S17" s="652">
        <f t="shared" si="6"/>
        <v>2949.29</v>
      </c>
    </row>
    <row r="18" spans="1:19" s="652" customFormat="1" ht="23.25" customHeight="1" x14ac:dyDescent="0.35">
      <c r="A18" s="1301">
        <v>10</v>
      </c>
      <c r="B18" s="652" t="s">
        <v>814</v>
      </c>
      <c r="C18" s="1288"/>
      <c r="D18" s="1287"/>
      <c r="E18" s="1290" t="s">
        <v>179</v>
      </c>
      <c r="F18" s="1296">
        <v>2015</v>
      </c>
      <c r="G18" s="1297">
        <f t="shared" si="3"/>
        <v>0</v>
      </c>
      <c r="H18" s="1297">
        <v>150</v>
      </c>
      <c r="I18" s="1297">
        <f t="shared" si="4"/>
        <v>0</v>
      </c>
      <c r="J18" s="1284">
        <f t="shared" si="1"/>
        <v>0</v>
      </c>
      <c r="K18" s="1303"/>
      <c r="L18" s="1300">
        <f>D18*51.24</f>
        <v>0</v>
      </c>
      <c r="N18" s="652">
        <f>1795+144.42</f>
        <v>1939.42</v>
      </c>
      <c r="O18" s="652">
        <f>11.27*6</f>
        <v>67.62</v>
      </c>
      <c r="P18" s="652">
        <f t="shared" si="5"/>
        <v>221.82786157941436</v>
      </c>
      <c r="Q18" s="652">
        <f t="shared" si="5"/>
        <v>67.62</v>
      </c>
      <c r="S18" s="652">
        <f t="shared" si="6"/>
        <v>2007.04</v>
      </c>
    </row>
    <row r="19" spans="1:19" s="652" customFormat="1" ht="23.25" customHeight="1" x14ac:dyDescent="0.35">
      <c r="A19" s="1301">
        <v>11</v>
      </c>
      <c r="B19" s="652" t="s">
        <v>1761</v>
      </c>
      <c r="D19" s="1287">
        <v>2</v>
      </c>
      <c r="E19" s="1290" t="s">
        <v>719</v>
      </c>
      <c r="F19" s="1296">
        <v>35</v>
      </c>
      <c r="G19" s="1284">
        <f t="shared" ref="G19" si="7">D19*F19</f>
        <v>70</v>
      </c>
      <c r="H19" s="1297">
        <v>0</v>
      </c>
      <c r="I19" s="1297">
        <f t="shared" si="4"/>
        <v>0</v>
      </c>
      <c r="J19" s="1284">
        <f t="shared" ref="J19" si="8">SUM(G19,I19)</f>
        <v>70</v>
      </c>
      <c r="K19" s="1303"/>
      <c r="L19" s="1300">
        <v>0</v>
      </c>
    </row>
    <row r="20" spans="1:19" s="652" customFormat="1" ht="23.25" customHeight="1" x14ac:dyDescent="0.35">
      <c r="A20" s="1301">
        <v>12</v>
      </c>
      <c r="B20" s="652" t="s">
        <v>815</v>
      </c>
      <c r="D20" s="1287">
        <v>0</v>
      </c>
      <c r="E20" s="1290" t="s">
        <v>179</v>
      </c>
      <c r="F20" s="1296">
        <v>1213</v>
      </c>
      <c r="G20" s="1297">
        <f t="shared" si="3"/>
        <v>0</v>
      </c>
      <c r="H20" s="1297">
        <v>100</v>
      </c>
      <c r="I20" s="1297">
        <f t="shared" si="4"/>
        <v>0</v>
      </c>
      <c r="J20" s="1284">
        <f t="shared" si="1"/>
        <v>0</v>
      </c>
      <c r="K20" s="1303"/>
      <c r="L20" s="1300">
        <f>D20*30.6</f>
        <v>0</v>
      </c>
      <c r="N20" s="652">
        <f>1120+61.19</f>
        <v>1181.19</v>
      </c>
      <c r="O20" s="652">
        <f>5.43*6</f>
        <v>32.58</v>
      </c>
      <c r="P20" s="652">
        <f t="shared" si="5"/>
        <v>460.40515653775327</v>
      </c>
      <c r="Q20" s="652">
        <f t="shared" si="5"/>
        <v>32.58</v>
      </c>
      <c r="S20" s="652">
        <f t="shared" si="6"/>
        <v>1213.77</v>
      </c>
    </row>
    <row r="21" spans="1:19" s="652" customFormat="1" ht="23.25" customHeight="1" x14ac:dyDescent="0.35">
      <c r="A21" s="1301">
        <v>13</v>
      </c>
      <c r="B21" s="652" t="s">
        <v>1780</v>
      </c>
      <c r="D21" s="1287">
        <v>1</v>
      </c>
      <c r="E21" s="1290" t="s">
        <v>719</v>
      </c>
      <c r="F21" s="1296">
        <v>50.7</v>
      </c>
      <c r="G21" s="1284">
        <f t="shared" si="3"/>
        <v>50.7</v>
      </c>
      <c r="H21" s="1297">
        <v>0</v>
      </c>
      <c r="I21" s="1284">
        <f t="shared" si="4"/>
        <v>0</v>
      </c>
      <c r="J21" s="1284">
        <f t="shared" si="1"/>
        <v>50.7</v>
      </c>
      <c r="K21" s="1303"/>
      <c r="L21" s="1300" t="s">
        <v>1812</v>
      </c>
    </row>
    <row r="22" spans="1:19" s="652" customFormat="1" ht="23.25" customHeight="1" x14ac:dyDescent="0.35">
      <c r="A22" s="1298">
        <v>14</v>
      </c>
      <c r="B22" s="652" t="s">
        <v>1781</v>
      </c>
      <c r="D22" s="1289">
        <v>1</v>
      </c>
      <c r="E22" s="1290" t="s">
        <v>179</v>
      </c>
      <c r="F22" s="1296">
        <v>291.58999999999997</v>
      </c>
      <c r="G22" s="1291">
        <f>IF(F22="-","-",D22*F22)</f>
        <v>291.58999999999997</v>
      </c>
      <c r="H22" s="1297">
        <v>0</v>
      </c>
      <c r="I22" s="1291">
        <f>IF(H22="-","-",H22*D22)</f>
        <v>0</v>
      </c>
      <c r="J22" s="1284">
        <f t="shared" si="1"/>
        <v>291.58999999999997</v>
      </c>
      <c r="K22" s="1297"/>
      <c r="L22" s="1300" t="s">
        <v>1812</v>
      </c>
    </row>
    <row r="23" spans="1:19" s="652" customFormat="1" ht="23.25" customHeight="1" x14ac:dyDescent="0.35">
      <c r="A23" s="1298">
        <v>15</v>
      </c>
      <c r="B23" s="652" t="s">
        <v>1762</v>
      </c>
      <c r="D23" s="1289">
        <v>2</v>
      </c>
      <c r="E23" s="1290" t="s">
        <v>719</v>
      </c>
      <c r="F23" s="1296">
        <v>4.67</v>
      </c>
      <c r="G23" s="1291">
        <f t="shared" ref="G23:G24" si="9">IF(F23="-","-",D23*F23)</f>
        <v>9.34</v>
      </c>
      <c r="H23" s="1297">
        <v>0</v>
      </c>
      <c r="I23" s="1291">
        <f t="shared" ref="I23:I24" si="10">IF(H23="-","-",H23*D23)</f>
        <v>0</v>
      </c>
      <c r="J23" s="1284">
        <f t="shared" si="1"/>
        <v>9.34</v>
      </c>
      <c r="K23" s="1297"/>
      <c r="L23" s="1300"/>
    </row>
    <row r="24" spans="1:19" s="652" customFormat="1" ht="23.25" customHeight="1" x14ac:dyDescent="0.35">
      <c r="A24" s="1298">
        <v>16</v>
      </c>
      <c r="B24" s="652" t="s">
        <v>1775</v>
      </c>
      <c r="D24" s="1289">
        <v>2</v>
      </c>
      <c r="E24" s="1290" t="s">
        <v>719</v>
      </c>
      <c r="F24" s="1296">
        <v>5</v>
      </c>
      <c r="G24" s="1291">
        <f t="shared" si="9"/>
        <v>10</v>
      </c>
      <c r="H24" s="1297">
        <v>0</v>
      </c>
      <c r="I24" s="1291">
        <f t="shared" si="10"/>
        <v>0</v>
      </c>
      <c r="J24" s="1284">
        <f t="shared" si="1"/>
        <v>10</v>
      </c>
      <c r="K24" s="1297"/>
      <c r="L24" s="1300"/>
    </row>
    <row r="25" spans="1:19" s="652" customFormat="1" ht="23.25" customHeight="1" x14ac:dyDescent="0.35">
      <c r="A25" s="1301">
        <v>17</v>
      </c>
      <c r="B25" s="652" t="s">
        <v>1759</v>
      </c>
      <c r="D25" s="1287"/>
      <c r="E25" s="1290" t="s">
        <v>633</v>
      </c>
      <c r="F25" s="1296">
        <v>310</v>
      </c>
      <c r="G25" s="1297">
        <f t="shared" si="3"/>
        <v>0</v>
      </c>
      <c r="H25" s="1297">
        <v>100</v>
      </c>
      <c r="I25" s="1297">
        <f t="shared" si="4"/>
        <v>0</v>
      </c>
      <c r="J25" s="1284">
        <f t="shared" si="1"/>
        <v>0</v>
      </c>
      <c r="K25" s="1297"/>
      <c r="L25" s="1300">
        <f>D25*121.6/6</f>
        <v>0</v>
      </c>
    </row>
    <row r="26" spans="1:19" s="652" customFormat="1" ht="23.25" customHeight="1" x14ac:dyDescent="0.35">
      <c r="A26" s="1301">
        <v>18</v>
      </c>
      <c r="B26" s="652" t="s">
        <v>552</v>
      </c>
      <c r="D26" s="1287">
        <v>0</v>
      </c>
      <c r="E26" s="1290" t="s">
        <v>553</v>
      </c>
      <c r="F26" s="1296">
        <v>7085</v>
      </c>
      <c r="G26" s="1297">
        <f t="shared" si="3"/>
        <v>0</v>
      </c>
      <c r="H26" s="1297">
        <v>400</v>
      </c>
      <c r="I26" s="1297">
        <f t="shared" si="4"/>
        <v>0</v>
      </c>
      <c r="J26" s="1284">
        <f t="shared" si="1"/>
        <v>0</v>
      </c>
      <c r="K26" s="1297"/>
      <c r="L26" s="1300">
        <f>D26*40</f>
        <v>0</v>
      </c>
      <c r="N26" s="1413">
        <v>4656</v>
      </c>
      <c r="O26" s="1413">
        <f>0.8*2.8*(55+82+330+89)</f>
        <v>1245.4399999999998</v>
      </c>
      <c r="P26" s="1413">
        <f>(24*2)+(0.75*0.75*0.05*3200)</f>
        <v>138</v>
      </c>
      <c r="Q26" s="1413">
        <f>66+66+445+1252</f>
        <v>1829</v>
      </c>
      <c r="R26" s="1413">
        <f>SUM(N26:Q26)</f>
        <v>7868.44</v>
      </c>
      <c r="S26" s="1413">
        <f>N26+Q26+450+150</f>
        <v>7085</v>
      </c>
    </row>
    <row r="27" spans="1:19" s="652" customFormat="1" ht="23.25" customHeight="1" x14ac:dyDescent="0.35">
      <c r="A27" s="1301">
        <v>19</v>
      </c>
      <c r="B27" s="652" t="s">
        <v>554</v>
      </c>
      <c r="C27" s="1288"/>
      <c r="D27" s="1287">
        <v>0</v>
      </c>
      <c r="E27" s="1290" t="s">
        <v>553</v>
      </c>
      <c r="F27" s="1296">
        <v>4422</v>
      </c>
      <c r="G27" s="1297">
        <f>IF(F27="-","-",D27*F27)</f>
        <v>0</v>
      </c>
      <c r="H27" s="1297">
        <v>300</v>
      </c>
      <c r="I27" s="1297">
        <f t="shared" ref="I27:I31" si="11">D27*H27</f>
        <v>0</v>
      </c>
      <c r="J27" s="1284">
        <f>SUM(G27,I27)</f>
        <v>0</v>
      </c>
      <c r="K27" s="1332"/>
      <c r="L27" s="1300">
        <f>D27*30</f>
        <v>0</v>
      </c>
      <c r="N27" s="1413">
        <v>2796</v>
      </c>
      <c r="O27" s="1413">
        <f>O26</f>
        <v>1245.4399999999998</v>
      </c>
      <c r="P27" s="1413">
        <f>P26</f>
        <v>138</v>
      </c>
      <c r="Q27" s="1413">
        <f>33+33+276+684</f>
        <v>1026</v>
      </c>
      <c r="R27" s="1413">
        <f>SUM(N27:Q27)</f>
        <v>5205.4399999999996</v>
      </c>
      <c r="S27" s="1413">
        <f>N27+Q27+450+150</f>
        <v>4422</v>
      </c>
    </row>
    <row r="28" spans="1:19" s="652" customFormat="1" ht="23.25" customHeight="1" x14ac:dyDescent="0.35">
      <c r="A28" s="1301">
        <v>20</v>
      </c>
      <c r="B28" s="652" t="s">
        <v>555</v>
      </c>
      <c r="C28" s="1288"/>
      <c r="E28" s="1290" t="s">
        <v>553</v>
      </c>
      <c r="F28" s="1296">
        <v>1910</v>
      </c>
      <c r="G28" s="1297">
        <f>IF(F28="-","-",D28*F28)</f>
        <v>0</v>
      </c>
      <c r="H28" s="1297">
        <v>200</v>
      </c>
      <c r="I28" s="1297">
        <f t="shared" si="11"/>
        <v>0</v>
      </c>
      <c r="J28" s="1284">
        <f>SUM(G28,I28)</f>
        <v>0</v>
      </c>
      <c r="K28" s="1332"/>
      <c r="L28" s="1300">
        <f>D28*20</f>
        <v>0</v>
      </c>
      <c r="N28" s="1413">
        <v>922</v>
      </c>
      <c r="O28" s="1413">
        <f>O26</f>
        <v>1245.4399999999998</v>
      </c>
      <c r="P28" s="1413">
        <f>P26</f>
        <v>138</v>
      </c>
      <c r="Q28" s="1413">
        <f>12+12+88+276</f>
        <v>388</v>
      </c>
      <c r="R28" s="1413">
        <f>SUM(N28:Q28)</f>
        <v>2693.4399999999996</v>
      </c>
      <c r="S28" s="1413">
        <f>N28+Q28+450+150</f>
        <v>1910</v>
      </c>
    </row>
    <row r="29" spans="1:19" s="652" customFormat="1" ht="21.75" customHeight="1" x14ac:dyDescent="0.35">
      <c r="A29" s="1301">
        <v>21</v>
      </c>
      <c r="B29" s="652" t="s">
        <v>1747</v>
      </c>
      <c r="D29" s="1287">
        <v>2</v>
      </c>
      <c r="E29" s="1290" t="s">
        <v>553</v>
      </c>
      <c r="F29" s="1296">
        <v>580</v>
      </c>
      <c r="G29" s="1297">
        <f t="shared" ref="G29:G32" si="12">IF(F29="-","-",D29*F29)</f>
        <v>1160</v>
      </c>
      <c r="H29" s="1297">
        <v>0</v>
      </c>
      <c r="I29" s="1296">
        <v>0</v>
      </c>
      <c r="J29" s="1284">
        <f t="shared" ref="J29:J30" si="13">SUM(G29,I29)</f>
        <v>1160</v>
      </c>
      <c r="K29" s="1288"/>
      <c r="L29" s="652">
        <v>0</v>
      </c>
    </row>
    <row r="30" spans="1:19" s="652" customFormat="1" ht="23.25" customHeight="1" x14ac:dyDescent="0.35">
      <c r="A30" s="1298">
        <v>22</v>
      </c>
      <c r="B30" s="652" t="s">
        <v>1776</v>
      </c>
      <c r="D30" s="1289">
        <v>8</v>
      </c>
      <c r="E30" s="1290" t="s">
        <v>719</v>
      </c>
      <c r="F30" s="1296">
        <v>35.99</v>
      </c>
      <c r="G30" s="1291">
        <f t="shared" si="12"/>
        <v>287.92</v>
      </c>
      <c r="H30" s="1297">
        <v>0</v>
      </c>
      <c r="I30" s="1291">
        <v>0</v>
      </c>
      <c r="J30" s="1284">
        <f t="shared" si="13"/>
        <v>287.92</v>
      </c>
      <c r="K30" s="1297"/>
      <c r="L30" s="1300" t="s">
        <v>1818</v>
      </c>
    </row>
    <row r="31" spans="1:19" s="652" customFormat="1" ht="23.25" customHeight="1" x14ac:dyDescent="0.35">
      <c r="A31" s="1301">
        <v>23</v>
      </c>
      <c r="B31" s="652" t="s">
        <v>556</v>
      </c>
      <c r="C31" s="1288"/>
      <c r="D31" s="1344"/>
      <c r="E31" s="1232" t="s">
        <v>557</v>
      </c>
      <c r="F31" s="1296">
        <v>30</v>
      </c>
      <c r="G31" s="1291">
        <f t="shared" si="12"/>
        <v>0</v>
      </c>
      <c r="H31" s="1297">
        <v>0</v>
      </c>
      <c r="I31" s="1297">
        <f t="shared" si="11"/>
        <v>0</v>
      </c>
      <c r="J31" s="1284">
        <f t="shared" ref="J31:J32" si="14">SUM(G31,I31)</f>
        <v>0</v>
      </c>
      <c r="K31" s="1332"/>
      <c r="L31" s="1300">
        <f>D31*0.02</f>
        <v>0</v>
      </c>
    </row>
    <row r="32" spans="1:19" s="652" customFormat="1" ht="23.25" customHeight="1" x14ac:dyDescent="0.35">
      <c r="A32" s="1301">
        <v>24</v>
      </c>
      <c r="B32" s="652" t="s">
        <v>1791</v>
      </c>
      <c r="C32" s="1288"/>
      <c r="D32" s="652">
        <v>1</v>
      </c>
      <c r="E32" s="1232" t="s">
        <v>747</v>
      </c>
      <c r="F32" s="1296">
        <v>300</v>
      </c>
      <c r="G32" s="1291">
        <f t="shared" si="12"/>
        <v>300</v>
      </c>
      <c r="H32" s="1297">
        <v>0</v>
      </c>
      <c r="I32" s="1297">
        <v>0</v>
      </c>
      <c r="J32" s="1284">
        <f t="shared" si="14"/>
        <v>300</v>
      </c>
      <c r="K32" s="1286"/>
      <c r="L32" s="1300">
        <f>D32*40</f>
        <v>40</v>
      </c>
      <c r="N32" s="1413">
        <f>N26</f>
        <v>4656</v>
      </c>
      <c r="O32" s="1413">
        <v>1400</v>
      </c>
      <c r="P32" s="1413">
        <f>(28*1.8)+(0.8*0.8*0.15*3200)</f>
        <v>357.6</v>
      </c>
      <c r="Q32" s="1413">
        <f>(40*23)+(F17/5)+(28*5)+(425*5)+50+2350+650</f>
        <v>7935</v>
      </c>
      <c r="R32" s="1413">
        <f>SUM(N32:Q32)</f>
        <v>14348.6</v>
      </c>
      <c r="S32" s="1414"/>
    </row>
    <row r="33" spans="1:13" s="1256" customFormat="1" ht="23.25" customHeight="1" x14ac:dyDescent="0.35">
      <c r="A33" s="1304"/>
      <c r="B33" s="1305"/>
      <c r="C33" s="1306" t="s">
        <v>373</v>
      </c>
      <c r="D33" s="1307"/>
      <c r="E33" s="1308"/>
      <c r="F33" s="1309"/>
      <c r="G33" s="1310">
        <f>SUM(G9:G32)</f>
        <v>6989.6500000000005</v>
      </c>
      <c r="H33" s="1311"/>
      <c r="I33" s="1310">
        <f>SUM(I9:I32)</f>
        <v>1025</v>
      </c>
      <c r="J33" s="1312">
        <f>SUM(J9:J32)</f>
        <v>8014.6500000000005</v>
      </c>
      <c r="K33" s="1324"/>
      <c r="L33" s="1408">
        <f>SUM(L9:L32)</f>
        <v>117.73099999999999</v>
      </c>
      <c r="M33" s="1410">
        <f>G33*0.2</f>
        <v>1397.9300000000003</v>
      </c>
    </row>
    <row r="34" spans="1:13" s="1256" customFormat="1" ht="23.25" customHeight="1" x14ac:dyDescent="0.35">
      <c r="A34" s="680"/>
      <c r="B34" s="1314"/>
      <c r="C34" s="1315" t="s">
        <v>405</v>
      </c>
      <c r="D34" s="1316"/>
      <c r="E34" s="682"/>
      <c r="F34" s="1317"/>
      <c r="G34" s="1318"/>
      <c r="H34" s="1319"/>
      <c r="I34" s="1318"/>
      <c r="J34" s="1318">
        <f>J33</f>
        <v>8014.6500000000005</v>
      </c>
      <c r="K34" s="1260"/>
      <c r="L34" s="1408">
        <f>G33+I33</f>
        <v>8014.6500000000005</v>
      </c>
    </row>
    <row r="35" spans="1:13" s="1256" customFormat="1" ht="24" customHeight="1" x14ac:dyDescent="0.35"/>
    <row r="36" spans="1:13" s="1256" customFormat="1" ht="23.25" customHeight="1" x14ac:dyDescent="0.35"/>
    <row r="37" spans="1:13" ht="23.25" customHeight="1" x14ac:dyDescent="0.6"/>
    <row r="38" spans="1:13" ht="23.25" customHeight="1" x14ac:dyDescent="0.6"/>
    <row r="39" spans="1:13" ht="23.25" customHeight="1" x14ac:dyDescent="0.6"/>
    <row r="40" spans="1:13" ht="23.25" customHeight="1" x14ac:dyDescent="0.6"/>
    <row r="41" spans="1:13" ht="23.25" customHeight="1" x14ac:dyDescent="0.6"/>
    <row r="42" spans="1:13" ht="23.25" customHeight="1" x14ac:dyDescent="0.6"/>
    <row r="43" spans="1:13" ht="23.25" customHeight="1" x14ac:dyDescent="0.6"/>
    <row r="44" spans="1:13" ht="23.25" customHeight="1" x14ac:dyDescent="0.6"/>
    <row r="45" spans="1:13" ht="23.25" customHeight="1" x14ac:dyDescent="0.6"/>
    <row r="46" spans="1:13" ht="23.25" customHeight="1" x14ac:dyDescent="0.6"/>
    <row r="47" spans="1:13" ht="23.25" customHeight="1" x14ac:dyDescent="0.6"/>
    <row r="48" spans="1:13" ht="23.25" customHeight="1" x14ac:dyDescent="0.6"/>
    <row r="49" ht="23.25" customHeight="1" x14ac:dyDescent="0.6"/>
    <row r="50" ht="23.25" customHeight="1" x14ac:dyDescent="0.6"/>
    <row r="51" ht="23.25" customHeight="1" x14ac:dyDescent="0.6"/>
    <row r="52" ht="23.25" customHeight="1" x14ac:dyDescent="0.6"/>
    <row r="53" ht="23.25" customHeight="1" x14ac:dyDescent="0.6"/>
    <row r="54" ht="23.25" customHeight="1" x14ac:dyDescent="0.6"/>
    <row r="55" ht="23.25" customHeight="1" x14ac:dyDescent="0.6"/>
    <row r="56" ht="23.25" customHeight="1" x14ac:dyDescent="0.6"/>
    <row r="57" ht="23.25" customHeight="1" x14ac:dyDescent="0.6"/>
    <row r="58" ht="23.25" customHeight="1" x14ac:dyDescent="0.6"/>
    <row r="59" ht="23.25" customHeight="1" x14ac:dyDescent="0.6"/>
    <row r="60" ht="23.25" customHeight="1" x14ac:dyDescent="0.6"/>
    <row r="61" ht="23.25" customHeight="1" x14ac:dyDescent="0.6"/>
    <row r="62" ht="23.25" customHeight="1" x14ac:dyDescent="0.6"/>
    <row r="63" ht="23.25" customHeight="1" x14ac:dyDescent="0.6"/>
    <row r="64" ht="23.25" customHeight="1" x14ac:dyDescent="0.6"/>
    <row r="65" ht="23.25" customHeight="1" x14ac:dyDescent="0.6"/>
    <row r="66" ht="23.25" customHeight="1" x14ac:dyDescent="0.6"/>
    <row r="67" ht="23.25" customHeight="1" x14ac:dyDescent="0.6"/>
    <row r="68" ht="23.25" customHeight="1" x14ac:dyDescent="0.6"/>
  </sheetData>
  <phoneticPr fontId="27" type="noConversion"/>
  <printOptions horizontalCentered="1"/>
  <pageMargins left="0.25" right="0.25" top="0.75" bottom="0.75" header="0.3" footer="0.3"/>
  <pageSetup paperSize="9" scale="98" orientation="portrait" r:id="rId1"/>
  <headerFooter alignWithMargins="0">
    <oddHeader>&amp;Rแบบ ปร.4 แผ่นที่ &amp;P/1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topLeftCell="A19" zoomScale="130" zoomScaleNormal="110" zoomScaleSheetLayoutView="130" workbookViewId="0">
      <selection activeCell="H22" sqref="H22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8.75" style="272" customWidth="1"/>
    <col min="4" max="4" width="4.75" style="272" customWidth="1"/>
    <col min="5" max="5" width="5.875" style="272" customWidth="1"/>
    <col min="6" max="6" width="12" style="272" customWidth="1"/>
    <col min="7" max="7" width="11.5" style="272" customWidth="1"/>
    <col min="8" max="8" width="10" style="272" customWidth="1"/>
    <col min="9" max="9" width="10.875" style="272" customWidth="1"/>
    <col min="10" max="10" width="12" style="272" customWidth="1"/>
    <col min="11" max="11" width="7.625" style="272" customWidth="1"/>
    <col min="12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46" t="s">
        <v>957</v>
      </c>
      <c r="D2" s="647"/>
      <c r="E2" s="645"/>
      <c r="F2" s="648"/>
      <c r="G2" s="649"/>
      <c r="H2" s="649"/>
      <c r="I2" s="653" t="s">
        <v>143</v>
      </c>
      <c r="J2" s="654">
        <v>13</v>
      </c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 t="s">
        <v>120</v>
      </c>
      <c r="J3" s="661" t="s">
        <v>396</v>
      </c>
      <c r="K3" s="661"/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2.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2.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s="652" customFormat="1" ht="22.5" customHeight="1" x14ac:dyDescent="0.35">
      <c r="A9" s="1286">
        <v>1</v>
      </c>
      <c r="B9" s="652" t="s">
        <v>836</v>
      </c>
      <c r="D9" s="1287">
        <v>1</v>
      </c>
      <c r="E9" s="1290" t="s">
        <v>108</v>
      </c>
      <c r="F9" s="1331">
        <v>22500</v>
      </c>
      <c r="G9" s="1297">
        <f>IF(F9="-","-",D9*F9)</f>
        <v>22500</v>
      </c>
      <c r="H9" s="1297" t="s">
        <v>418</v>
      </c>
      <c r="I9" s="1297" t="str">
        <f>IF(H9="-","-",H9*D9)</f>
        <v>-</v>
      </c>
      <c r="J9" s="1284">
        <f>SUM(G9,I9)</f>
        <v>22500</v>
      </c>
      <c r="K9" s="1288"/>
    </row>
    <row r="10" spans="1:11" s="652" customFormat="1" ht="22.5" customHeight="1" x14ac:dyDescent="0.35">
      <c r="A10" s="1286"/>
      <c r="B10" s="652" t="s">
        <v>1788</v>
      </c>
      <c r="D10" s="1287"/>
      <c r="E10" s="1290"/>
      <c r="F10" s="1296"/>
      <c r="G10" s="1297"/>
      <c r="H10" s="1297"/>
      <c r="I10" s="1297"/>
      <c r="J10" s="1284"/>
      <c r="K10" s="1288"/>
    </row>
    <row r="11" spans="1:11" s="652" customFormat="1" ht="22.5" customHeight="1" x14ac:dyDescent="0.35">
      <c r="A11" s="1286"/>
      <c r="D11" s="1287"/>
      <c r="E11" s="1290"/>
      <c r="F11" s="1296"/>
      <c r="G11" s="1297"/>
      <c r="H11" s="1297"/>
      <c r="I11" s="1297"/>
      <c r="J11" s="1284"/>
      <c r="K11" s="1288"/>
    </row>
    <row r="12" spans="1:11" s="652" customFormat="1" ht="22.5" customHeight="1" x14ac:dyDescent="0.35">
      <c r="A12" s="1286"/>
      <c r="B12" s="1322"/>
      <c r="C12" s="1259" t="s">
        <v>415</v>
      </c>
      <c r="D12" s="1287"/>
      <c r="E12" s="1290"/>
      <c r="F12" s="1296"/>
      <c r="G12" s="1407">
        <f>SUM(G8:G10)</f>
        <v>22500</v>
      </c>
      <c r="H12" s="1297"/>
      <c r="I12" s="1407">
        <f>SUM(I8:I10)</f>
        <v>0</v>
      </c>
      <c r="J12" s="1340">
        <f>SUM(J8:J10)</f>
        <v>22500</v>
      </c>
      <c r="K12" s="1288"/>
    </row>
    <row r="13" spans="1:11" s="652" customFormat="1" ht="22.5" customHeight="1" x14ac:dyDescent="0.35">
      <c r="A13" s="1286"/>
      <c r="C13" s="1259" t="s">
        <v>374</v>
      </c>
      <c r="D13" s="1287"/>
      <c r="E13" s="1290"/>
      <c r="F13" s="1326"/>
      <c r="G13" s="1407">
        <f>G12</f>
        <v>22500</v>
      </c>
      <c r="H13" s="1407"/>
      <c r="I13" s="1407">
        <f>I12</f>
        <v>0</v>
      </c>
      <c r="J13" s="1407">
        <f>J12</f>
        <v>22500</v>
      </c>
      <c r="K13" s="1288"/>
    </row>
    <row r="14" spans="1:11" s="652" customFormat="1" ht="22.5" customHeight="1" x14ac:dyDescent="0.35">
      <c r="A14" s="1286">
        <v>2</v>
      </c>
      <c r="B14" s="652" t="s">
        <v>107</v>
      </c>
      <c r="D14" s="1287">
        <v>1</v>
      </c>
      <c r="E14" s="1290" t="s">
        <v>108</v>
      </c>
      <c r="F14" s="1296" t="s">
        <v>418</v>
      </c>
      <c r="G14" s="1297" t="str">
        <f>IF(F14="-","-",D14*F14)</f>
        <v>-</v>
      </c>
      <c r="H14" s="1297">
        <v>1000</v>
      </c>
      <c r="I14" s="1297">
        <f>IF(H14="-","-",H14*D14)</f>
        <v>1000</v>
      </c>
      <c r="J14" s="1284">
        <f>SUM(G14,I14)</f>
        <v>1000</v>
      </c>
      <c r="K14" s="1288"/>
    </row>
    <row r="15" spans="1:11" s="652" customFormat="1" ht="22.5" customHeight="1" x14ac:dyDescent="0.35">
      <c r="A15" s="1286">
        <v>3</v>
      </c>
      <c r="B15" s="1415" t="s">
        <v>837</v>
      </c>
      <c r="C15" s="1415"/>
      <c r="D15" s="1287">
        <v>1</v>
      </c>
      <c r="E15" s="1290" t="s">
        <v>5</v>
      </c>
      <c r="F15" s="1296">
        <v>9500</v>
      </c>
      <c r="G15" s="1297">
        <f>IF(F15="-","-",D15*F15)</f>
        <v>9500</v>
      </c>
      <c r="H15" s="1297">
        <v>500</v>
      </c>
      <c r="I15" s="1297">
        <f>IF(H15="-","-",H15*D15)</f>
        <v>500</v>
      </c>
      <c r="J15" s="1284">
        <f>SUM(G15,I15)</f>
        <v>10000</v>
      </c>
      <c r="K15" s="1288"/>
    </row>
    <row r="16" spans="1:11" s="652" customFormat="1" ht="22.5" customHeight="1" x14ac:dyDescent="0.35">
      <c r="A16" s="1286"/>
      <c r="B16" s="652" t="s">
        <v>1786</v>
      </c>
      <c r="D16" s="1287"/>
      <c r="E16" s="1290"/>
      <c r="F16" s="1296"/>
      <c r="G16" s="1297"/>
      <c r="H16" s="1297"/>
      <c r="I16" s="1297"/>
      <c r="J16" s="1284"/>
      <c r="K16" s="1288"/>
    </row>
    <row r="17" spans="1:12" s="652" customFormat="1" ht="22.5" customHeight="1" x14ac:dyDescent="0.35">
      <c r="A17" s="1286">
        <v>4</v>
      </c>
      <c r="B17" s="1415" t="s">
        <v>1783</v>
      </c>
      <c r="C17" s="1415"/>
      <c r="D17" s="1287">
        <v>72</v>
      </c>
      <c r="E17" s="1290" t="s">
        <v>633</v>
      </c>
      <c r="F17" s="1296">
        <v>72.900000000000006</v>
      </c>
      <c r="G17" s="1297">
        <f>IF(F17="-","-",D17*F17)</f>
        <v>5248.8</v>
      </c>
      <c r="H17" s="1297">
        <v>41</v>
      </c>
      <c r="I17" s="1297">
        <f>IF(H17="-","-",H17*D17)</f>
        <v>2952</v>
      </c>
      <c r="J17" s="1284">
        <f>SUM(G17,I17)</f>
        <v>8200.7999999999993</v>
      </c>
      <c r="K17" s="1288"/>
      <c r="L17" s="652" t="s">
        <v>1819</v>
      </c>
    </row>
    <row r="18" spans="1:12" s="652" customFormat="1" ht="22.5" customHeight="1" x14ac:dyDescent="0.35">
      <c r="A18" s="1286">
        <v>5</v>
      </c>
      <c r="B18" s="1415" t="s">
        <v>1787</v>
      </c>
      <c r="C18" s="1415"/>
      <c r="D18" s="1287">
        <v>72</v>
      </c>
      <c r="E18" s="1290" t="s">
        <v>633</v>
      </c>
      <c r="F18" s="1296">
        <v>63</v>
      </c>
      <c r="G18" s="1297">
        <f>IF(F18="-","-",D18*F18)</f>
        <v>4536</v>
      </c>
      <c r="H18" s="1297">
        <v>20</v>
      </c>
      <c r="I18" s="1297">
        <f>IF(H18="-","-",H18*D18)</f>
        <v>1440</v>
      </c>
      <c r="J18" s="1284">
        <f>SUM(G18,I18)</f>
        <v>5976</v>
      </c>
      <c r="K18" s="1288"/>
    </row>
    <row r="19" spans="1:12" s="652" customFormat="1" ht="22.5" customHeight="1" x14ac:dyDescent="0.35">
      <c r="A19" s="1286">
        <v>6</v>
      </c>
      <c r="B19" s="1415" t="s">
        <v>1784</v>
      </c>
      <c r="C19" s="1415"/>
      <c r="D19" s="1287">
        <v>72</v>
      </c>
      <c r="E19" s="1290" t="s">
        <v>633</v>
      </c>
      <c r="F19" s="1296">
        <v>20</v>
      </c>
      <c r="G19" s="1297">
        <f>IF(F19="-","-",D19*F19)</f>
        <v>1440</v>
      </c>
      <c r="H19" s="1297"/>
      <c r="I19" s="1297"/>
      <c r="J19" s="1284">
        <f>SUM(G19,I19)</f>
        <v>1440</v>
      </c>
      <c r="K19" s="1288"/>
    </row>
    <row r="20" spans="1:12" s="652" customFormat="1" ht="22.5" customHeight="1" x14ac:dyDescent="0.35">
      <c r="A20" s="1286"/>
      <c r="B20" s="1415" t="s">
        <v>1785</v>
      </c>
      <c r="C20" s="1415"/>
      <c r="D20" s="1287"/>
      <c r="E20" s="1290"/>
      <c r="F20" s="1296"/>
      <c r="G20" s="1297"/>
      <c r="H20" s="1297"/>
      <c r="I20" s="1297"/>
      <c r="J20" s="1284"/>
      <c r="K20" s="1288"/>
    </row>
    <row r="21" spans="1:12" s="652" customFormat="1" ht="22.5" customHeight="1" x14ac:dyDescent="0.35">
      <c r="A21" s="1286">
        <v>7</v>
      </c>
      <c r="B21" s="1416" t="s">
        <v>838</v>
      </c>
      <c r="C21" s="1415"/>
      <c r="D21" s="1287">
        <v>1</v>
      </c>
      <c r="E21" s="1290" t="s">
        <v>125</v>
      </c>
      <c r="F21" s="1296">
        <v>200</v>
      </c>
      <c r="G21" s="1297">
        <f>IF(F21="-","-",D21*F21)</f>
        <v>200</v>
      </c>
      <c r="H21" s="1297"/>
      <c r="I21" s="1297"/>
      <c r="J21" s="1284">
        <f>SUM(G21,I21)</f>
        <v>200</v>
      </c>
      <c r="K21" s="1288"/>
    </row>
    <row r="22" spans="1:12" s="652" customFormat="1" ht="22.5" customHeight="1" x14ac:dyDescent="0.35">
      <c r="A22" s="1286"/>
      <c r="B22" s="1415"/>
      <c r="C22" s="1415"/>
      <c r="D22" s="1287"/>
      <c r="E22" s="1290"/>
      <c r="F22" s="1296"/>
      <c r="G22" s="1297"/>
      <c r="H22" s="1297"/>
      <c r="I22" s="1297"/>
      <c r="J22" s="1284"/>
      <c r="K22" s="1288"/>
    </row>
    <row r="23" spans="1:12" s="652" customFormat="1" ht="22.5" customHeight="1" x14ac:dyDescent="0.35">
      <c r="A23" s="1286"/>
      <c r="B23" s="1415"/>
      <c r="C23" s="1415"/>
      <c r="D23" s="1287"/>
      <c r="E23" s="1290"/>
      <c r="F23" s="1296"/>
      <c r="G23" s="1297"/>
      <c r="H23" s="1297"/>
      <c r="I23" s="1297"/>
      <c r="J23" s="1284"/>
      <c r="K23" s="1288"/>
    </row>
    <row r="24" spans="1:12" s="652" customFormat="1" ht="22.5" customHeight="1" x14ac:dyDescent="0.35">
      <c r="A24" s="1286"/>
      <c r="B24" s="1415"/>
      <c r="C24" s="1259" t="s">
        <v>677</v>
      </c>
      <c r="D24" s="1287"/>
      <c r="E24" s="1290"/>
      <c r="F24" s="1296"/>
      <c r="G24" s="1407">
        <f>SUM(G14:G23)</f>
        <v>20924.8</v>
      </c>
      <c r="H24" s="1407"/>
      <c r="I24" s="1407">
        <f>SUM(I14:I23)</f>
        <v>5892</v>
      </c>
      <c r="J24" s="1407">
        <f>SUM(J14:J23)</f>
        <v>26816.799999999999</v>
      </c>
      <c r="K24" s="1288"/>
    </row>
    <row r="25" spans="1:12" s="652" customFormat="1" ht="22.5" customHeight="1" x14ac:dyDescent="0.35">
      <c r="A25" s="1286"/>
      <c r="C25" s="1259" t="s">
        <v>678</v>
      </c>
      <c r="D25" s="1287"/>
      <c r="E25" s="1290"/>
      <c r="F25" s="1326"/>
      <c r="G25" s="1407">
        <f>G12+G24</f>
        <v>43424.800000000003</v>
      </c>
      <c r="H25" s="1407"/>
      <c r="I25" s="1407">
        <f>I24</f>
        <v>5892</v>
      </c>
      <c r="J25" s="1407">
        <f>G25+I25</f>
        <v>49316.800000000003</v>
      </c>
      <c r="K25" s="1288"/>
      <c r="L25" s="1294"/>
    </row>
    <row r="26" spans="1:12" s="652" customFormat="1" ht="22.5" customHeight="1" x14ac:dyDescent="0.35">
      <c r="A26" s="1417"/>
      <c r="B26" s="1418"/>
      <c r="C26" s="1419" t="s">
        <v>676</v>
      </c>
      <c r="D26" s="1420"/>
      <c r="E26" s="1421"/>
      <c r="F26" s="1422"/>
      <c r="G26" s="1341"/>
      <c r="H26" s="1341"/>
      <c r="I26" s="1341"/>
      <c r="J26" s="1341">
        <f>J25</f>
        <v>49316.800000000003</v>
      </c>
      <c r="K26" s="1423"/>
    </row>
    <row r="27" spans="1:12" s="652" customFormat="1" ht="21.75" customHeight="1" x14ac:dyDescent="0.35"/>
    <row r="28" spans="1:12" ht="21.75" customHeight="1" x14ac:dyDescent="0.6"/>
    <row r="29" spans="1:12" ht="21.75" customHeight="1" x14ac:dyDescent="0.6"/>
    <row r="30" spans="1:12" ht="21.75" customHeight="1" x14ac:dyDescent="0.6"/>
    <row r="31" spans="1:12" ht="21.75" customHeight="1" x14ac:dyDescent="0.6"/>
    <row r="32" spans="1:12" ht="21.75" customHeight="1" x14ac:dyDescent="0.6"/>
    <row r="33" ht="21.75" customHeight="1" x14ac:dyDescent="0.6"/>
    <row r="34" ht="21.75" customHeight="1" x14ac:dyDescent="0.6"/>
    <row r="35" ht="21.75" customHeight="1" x14ac:dyDescent="0.6"/>
    <row r="36" ht="21.75" customHeight="1" x14ac:dyDescent="0.6"/>
    <row r="37" ht="21.75" customHeight="1" x14ac:dyDescent="0.6"/>
    <row r="38" ht="21.75" customHeight="1" x14ac:dyDescent="0.6"/>
    <row r="39" ht="21.75" customHeight="1" x14ac:dyDescent="0.6"/>
    <row r="40" ht="21.75" customHeight="1" x14ac:dyDescent="0.6"/>
    <row r="41" ht="21.75" customHeight="1" x14ac:dyDescent="0.6"/>
    <row r="42" ht="21.75" customHeight="1" x14ac:dyDescent="0.6"/>
    <row r="43" ht="21.75" customHeight="1" x14ac:dyDescent="0.6"/>
    <row r="44" ht="21.75" customHeight="1" x14ac:dyDescent="0.6"/>
    <row r="45" ht="21.75" customHeight="1" x14ac:dyDescent="0.6"/>
    <row r="46" ht="21.75" customHeight="1" x14ac:dyDescent="0.6"/>
    <row r="47" ht="21.75" customHeight="1" x14ac:dyDescent="0.6"/>
    <row r="48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  <row r="98" ht="21.75" customHeight="1" x14ac:dyDescent="0.6"/>
    <row r="99" ht="21.75" customHeight="1" x14ac:dyDescent="0.6"/>
    <row r="100" ht="21.75" customHeight="1" x14ac:dyDescent="0.6"/>
    <row r="101" ht="21.75" customHeight="1" x14ac:dyDescent="0.6"/>
    <row r="102" ht="21.75" customHeight="1" x14ac:dyDescent="0.6"/>
    <row r="103" ht="21.75" customHeight="1" x14ac:dyDescent="0.6"/>
    <row r="104" ht="21.75" customHeight="1" x14ac:dyDescent="0.6"/>
    <row r="105" ht="21.75" customHeight="1" x14ac:dyDescent="0.6"/>
    <row r="106" ht="21.75" customHeight="1" x14ac:dyDescent="0.6"/>
    <row r="107" ht="21.75" customHeight="1" x14ac:dyDescent="0.6"/>
    <row r="108" ht="21.75" customHeight="1" x14ac:dyDescent="0.6"/>
    <row r="109" ht="21.75" customHeight="1" x14ac:dyDescent="0.6"/>
    <row r="110" ht="21.75" customHeight="1" x14ac:dyDescent="0.6"/>
    <row r="111" ht="21.75" customHeight="1" x14ac:dyDescent="0.6"/>
  </sheetData>
  <phoneticPr fontId="27" type="noConversion"/>
  <printOptions horizontalCentered="1"/>
  <pageMargins left="0.25" right="0.25" top="0.75" bottom="0.75" header="0.3" footer="0.3"/>
  <pageSetup paperSize="9" scale="95" orientation="portrait" r:id="rId1"/>
  <headerFooter alignWithMargins="0">
    <oddHeader>&amp;Rแบบ ปร.4 แผ่นที่ &amp;P/1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workbookViewId="0">
      <selection activeCell="J39" sqref="J39"/>
    </sheetView>
  </sheetViews>
  <sheetFormatPr defaultColWidth="9.125" defaultRowHeight="21" x14ac:dyDescent="0.6"/>
  <cols>
    <col min="1" max="1" width="9.75" style="49" customWidth="1"/>
    <col min="2" max="3" width="25.75" style="49" customWidth="1"/>
    <col min="4" max="5" width="7.75" style="49" customWidth="1"/>
    <col min="6" max="11" width="11.75" style="49" customWidth="1"/>
    <col min="12" max="16384" width="9.125" style="49"/>
  </cols>
  <sheetData>
    <row r="1" spans="1:11" ht="21.75" customHeight="1" x14ac:dyDescent="0.6">
      <c r="A1" s="41" t="s">
        <v>395</v>
      </c>
      <c r="B1" s="42"/>
      <c r="C1" s="43" t="s">
        <v>372</v>
      </c>
      <c r="D1" s="44"/>
      <c r="E1" s="42"/>
      <c r="F1" s="45"/>
      <c r="G1" s="46"/>
      <c r="H1" s="46"/>
      <c r="I1" s="45"/>
      <c r="J1" s="47"/>
      <c r="K1" s="48"/>
    </row>
    <row r="2" spans="1:11" ht="21.75" customHeight="1" x14ac:dyDescent="0.6">
      <c r="A2" s="41" t="str">
        <f>'แบบ ปร.6'!$A$2</f>
        <v>สถานที่ก่อสร้าง</v>
      </c>
      <c r="B2" s="42"/>
      <c r="C2" s="50"/>
      <c r="D2" s="51"/>
      <c r="E2" s="42"/>
      <c r="F2" s="52" t="s">
        <v>120</v>
      </c>
      <c r="G2" s="53" t="s">
        <v>396</v>
      </c>
      <c r="H2" s="53"/>
      <c r="I2" s="52" t="s">
        <v>143</v>
      </c>
      <c r="J2" s="54"/>
      <c r="K2" s="55"/>
    </row>
    <row r="3" spans="1:11" ht="21.75" customHeight="1" x14ac:dyDescent="0.6">
      <c r="A3" s="41" t="s">
        <v>397</v>
      </c>
      <c r="B3" s="42"/>
      <c r="C3" s="43" t="str">
        <f>'แบบ ปร.6'!$A$4</f>
        <v>สำนักบริหารจัดการน้ำ  กรมทรัพยากรน้ำ</v>
      </c>
      <c r="D3" s="51"/>
      <c r="E3" s="42"/>
      <c r="F3" s="52"/>
      <c r="G3" s="53"/>
      <c r="H3" s="53"/>
      <c r="I3" s="52"/>
      <c r="J3" s="54"/>
      <c r="K3" s="55"/>
    </row>
    <row r="4" spans="1:11" ht="21.75" customHeight="1" x14ac:dyDescent="0.6">
      <c r="A4" s="41" t="s">
        <v>398</v>
      </c>
      <c r="B4" s="42"/>
      <c r="C4" s="50"/>
      <c r="D4" s="51"/>
      <c r="E4" s="42"/>
      <c r="F4" s="52" t="s">
        <v>399</v>
      </c>
      <c r="G4" s="56">
        <f>'แบบ ปร.6'!$C$5</f>
        <v>37950</v>
      </c>
      <c r="H4" s="57"/>
      <c r="I4" s="45"/>
      <c r="J4" s="47"/>
      <c r="K4" s="48"/>
    </row>
    <row r="5" spans="1:11" ht="21.75" customHeight="1" x14ac:dyDescent="0.6">
      <c r="A5" s="58"/>
      <c r="B5" s="59"/>
      <c r="C5" s="59"/>
      <c r="D5" s="60"/>
      <c r="E5" s="59"/>
      <c r="F5" s="61"/>
      <c r="G5" s="62"/>
      <c r="H5" s="62"/>
      <c r="I5" s="61"/>
      <c r="J5" s="63"/>
    </row>
    <row r="6" spans="1:11" s="74" customFormat="1" ht="21.75" customHeight="1" x14ac:dyDescent="0.6">
      <c r="A6" s="64" t="s">
        <v>522</v>
      </c>
      <c r="B6" s="65" t="s">
        <v>125</v>
      </c>
      <c r="C6" s="66"/>
      <c r="D6" s="67" t="s">
        <v>400</v>
      </c>
      <c r="E6" s="68"/>
      <c r="F6" s="69" t="s">
        <v>401</v>
      </c>
      <c r="G6" s="70"/>
      <c r="H6" s="69" t="s">
        <v>402</v>
      </c>
      <c r="I6" s="71"/>
      <c r="J6" s="72" t="s">
        <v>403</v>
      </c>
      <c r="K6" s="73" t="s">
        <v>761</v>
      </c>
    </row>
    <row r="7" spans="1:11" s="74" customFormat="1" ht="21.75" customHeight="1" x14ac:dyDescent="0.6">
      <c r="A7" s="75"/>
      <c r="B7" s="76"/>
      <c r="C7" s="77"/>
      <c r="D7" s="78"/>
      <c r="E7" s="79"/>
      <c r="F7" s="80" t="s">
        <v>404</v>
      </c>
      <c r="G7" s="81" t="s">
        <v>381</v>
      </c>
      <c r="H7" s="80" t="s">
        <v>404</v>
      </c>
      <c r="I7" s="82" t="s">
        <v>381</v>
      </c>
      <c r="J7" s="83" t="s">
        <v>491</v>
      </c>
      <c r="K7" s="84"/>
    </row>
    <row r="8" spans="1:11" s="74" customFormat="1" ht="21.75" customHeight="1" x14ac:dyDescent="0.6">
      <c r="A8" s="123"/>
      <c r="B8" s="124" t="s">
        <v>428</v>
      </c>
      <c r="C8" s="125"/>
      <c r="D8" s="126"/>
      <c r="E8" s="127"/>
      <c r="F8" s="128"/>
      <c r="G8" s="129"/>
      <c r="H8" s="128"/>
      <c r="I8" s="130"/>
      <c r="J8" s="131"/>
      <c r="K8" s="87"/>
    </row>
    <row r="9" spans="1:11" ht="21.75" customHeight="1" x14ac:dyDescent="0.6">
      <c r="A9" s="106">
        <v>1</v>
      </c>
      <c r="B9" s="112" t="s">
        <v>429</v>
      </c>
      <c r="C9" s="110"/>
      <c r="D9" s="107">
        <v>0</v>
      </c>
      <c r="E9" s="132" t="s">
        <v>125</v>
      </c>
      <c r="F9" s="109">
        <v>0</v>
      </c>
      <c r="G9" s="109">
        <f>IF(F9="-","-",D9*F9)</f>
        <v>0</v>
      </c>
      <c r="H9" s="109">
        <v>0</v>
      </c>
      <c r="I9" s="109">
        <f>IF(H9="-","-",H9*D9)</f>
        <v>0</v>
      </c>
      <c r="J9" s="111">
        <f>SUM(G9,I9)</f>
        <v>0</v>
      </c>
      <c r="K9" s="110"/>
    </row>
    <row r="10" spans="1:11" ht="21.75" customHeight="1" x14ac:dyDescent="0.6">
      <c r="A10" s="106"/>
      <c r="B10" s="133" t="s">
        <v>430</v>
      </c>
      <c r="C10" s="110"/>
      <c r="D10" s="107"/>
      <c r="E10" s="108"/>
      <c r="F10" s="109"/>
      <c r="G10" s="109"/>
      <c r="H10" s="109"/>
      <c r="I10" s="109"/>
      <c r="J10" s="110"/>
      <c r="K10" s="110"/>
    </row>
    <row r="11" spans="1:11" ht="21.75" customHeight="1" x14ac:dyDescent="0.6">
      <c r="A11" s="106"/>
      <c r="B11" s="134" t="s">
        <v>431</v>
      </c>
      <c r="C11" s="110"/>
      <c r="D11" s="107"/>
      <c r="E11" s="108"/>
      <c r="F11" s="109"/>
      <c r="G11" s="109"/>
      <c r="H11" s="109"/>
      <c r="I11" s="109"/>
      <c r="J11" s="110"/>
      <c r="K11" s="110"/>
    </row>
    <row r="12" spans="1:11" ht="21.75" customHeight="1" x14ac:dyDescent="0.6">
      <c r="A12" s="106">
        <v>2</v>
      </c>
      <c r="B12" s="112" t="s">
        <v>432</v>
      </c>
      <c r="C12" s="110"/>
      <c r="D12" s="107">
        <v>1</v>
      </c>
      <c r="E12" s="132" t="s">
        <v>125</v>
      </c>
      <c r="F12" s="109">
        <v>0</v>
      </c>
      <c r="G12" s="109">
        <v>0</v>
      </c>
      <c r="H12" s="109">
        <v>107837</v>
      </c>
      <c r="I12" s="109">
        <f>IF(H12="-","-",H12*D12)</f>
        <v>107837</v>
      </c>
      <c r="J12" s="111">
        <f>SUM(G12,I12)</f>
        <v>107837</v>
      </c>
      <c r="K12" s="110"/>
    </row>
    <row r="13" spans="1:11" ht="21.75" customHeight="1" x14ac:dyDescent="0.6">
      <c r="A13" s="106"/>
      <c r="B13" s="133" t="s">
        <v>433</v>
      </c>
      <c r="C13" s="110"/>
      <c r="D13" s="107"/>
      <c r="E13" s="108"/>
      <c r="F13" s="109"/>
      <c r="G13" s="109"/>
      <c r="H13" s="109"/>
      <c r="I13" s="109"/>
      <c r="J13" s="110"/>
      <c r="K13" s="110"/>
    </row>
    <row r="14" spans="1:11" ht="21.75" customHeight="1" x14ac:dyDescent="0.6">
      <c r="A14" s="106"/>
      <c r="B14" s="134" t="s">
        <v>274</v>
      </c>
      <c r="C14" s="74"/>
      <c r="D14" s="107"/>
      <c r="E14" s="108"/>
      <c r="F14" s="121"/>
      <c r="G14" s="121"/>
      <c r="H14" s="121"/>
      <c r="I14" s="121"/>
      <c r="J14" s="110"/>
      <c r="K14" s="110"/>
    </row>
    <row r="15" spans="1:11" ht="21.75" customHeight="1" x14ac:dyDescent="0.6">
      <c r="A15" s="106"/>
      <c r="B15" s="134" t="s">
        <v>275</v>
      </c>
      <c r="C15" s="74"/>
      <c r="D15" s="107"/>
      <c r="E15" s="108"/>
      <c r="F15" s="121"/>
      <c r="G15" s="121"/>
      <c r="H15" s="121"/>
      <c r="I15" s="121"/>
      <c r="J15" s="110"/>
      <c r="K15" s="110"/>
    </row>
    <row r="16" spans="1:11" ht="21.75" customHeight="1" x14ac:dyDescent="0.6">
      <c r="A16" s="106"/>
      <c r="B16" s="134" t="s">
        <v>276</v>
      </c>
      <c r="C16" s="74"/>
      <c r="D16" s="107"/>
      <c r="E16" s="108"/>
      <c r="F16" s="121"/>
      <c r="G16" s="121"/>
      <c r="H16" s="121"/>
      <c r="I16" s="121"/>
      <c r="J16" s="110"/>
      <c r="K16" s="110"/>
    </row>
    <row r="17" spans="1:11" ht="21.75" customHeight="1" x14ac:dyDescent="0.6">
      <c r="A17" s="106">
        <v>3</v>
      </c>
      <c r="B17" s="134" t="s">
        <v>277</v>
      </c>
      <c r="C17" s="74"/>
      <c r="D17" s="107">
        <v>1</v>
      </c>
      <c r="E17" s="132" t="s">
        <v>125</v>
      </c>
      <c r="F17" s="121">
        <v>0</v>
      </c>
      <c r="G17" s="109">
        <f>IF(F17="-","-",D17*F17)</f>
        <v>0</v>
      </c>
      <c r="H17" s="121">
        <v>4658</v>
      </c>
      <c r="I17" s="109">
        <f>IF(H17="-","-",H17*D17)</f>
        <v>4658</v>
      </c>
      <c r="J17" s="111">
        <f>SUM(G17,I17)</f>
        <v>4658</v>
      </c>
      <c r="K17" s="110"/>
    </row>
    <row r="18" spans="1:11" ht="21.75" customHeight="1" x14ac:dyDescent="0.6">
      <c r="A18" s="106"/>
      <c r="B18" s="134"/>
      <c r="C18" s="74"/>
      <c r="D18" s="107"/>
      <c r="E18" s="132"/>
      <c r="F18" s="121"/>
      <c r="G18" s="109"/>
      <c r="H18" s="121"/>
      <c r="I18" s="109"/>
      <c r="J18" s="111"/>
      <c r="K18" s="110"/>
    </row>
    <row r="19" spans="1:11" ht="21.75" customHeight="1" x14ac:dyDescent="0.6">
      <c r="A19" s="106"/>
      <c r="B19" s="134"/>
      <c r="C19" s="74"/>
      <c r="D19" s="107"/>
      <c r="E19" s="132"/>
      <c r="F19" s="121"/>
      <c r="G19" s="109"/>
      <c r="H19" s="121"/>
      <c r="I19" s="109"/>
      <c r="J19" s="111"/>
      <c r="K19" s="110"/>
    </row>
    <row r="20" spans="1:11" ht="21.75" customHeight="1" x14ac:dyDescent="0.6">
      <c r="A20" s="106"/>
      <c r="B20" s="134"/>
      <c r="C20" s="74"/>
      <c r="D20" s="107"/>
      <c r="E20" s="132"/>
      <c r="F20" s="121"/>
      <c r="G20" s="109"/>
      <c r="H20" s="121"/>
      <c r="I20" s="109"/>
      <c r="J20" s="111"/>
      <c r="K20" s="110"/>
    </row>
    <row r="21" spans="1:11" ht="21.75" customHeight="1" x14ac:dyDescent="0.6">
      <c r="A21" s="106"/>
      <c r="B21" s="134"/>
      <c r="C21" s="74"/>
      <c r="D21" s="107"/>
      <c r="E21" s="132"/>
      <c r="F21" s="121"/>
      <c r="G21" s="109"/>
      <c r="H21" s="121"/>
      <c r="I21" s="109"/>
      <c r="J21" s="111"/>
      <c r="K21" s="110"/>
    </row>
    <row r="22" spans="1:11" s="74" customFormat="1" ht="21.75" customHeight="1" x14ac:dyDescent="0.6">
      <c r="A22" s="135"/>
      <c r="B22" s="136"/>
      <c r="C22" s="137" t="s">
        <v>373</v>
      </c>
      <c r="D22" s="138"/>
      <c r="E22" s="139"/>
      <c r="F22" s="140"/>
      <c r="G22" s="141">
        <f>SUM(G8:G21)</f>
        <v>0</v>
      </c>
      <c r="H22" s="142"/>
      <c r="I22" s="141">
        <f>SUM(I8:I21)</f>
        <v>112495</v>
      </c>
      <c r="J22" s="115">
        <f>SUM(J8:J21)</f>
        <v>112495</v>
      </c>
      <c r="K22" s="143"/>
    </row>
    <row r="23" spans="1:11" ht="21.75" customHeight="1" x14ac:dyDescent="0.6">
      <c r="A23" s="83"/>
      <c r="B23" s="97"/>
      <c r="C23" s="98" t="s">
        <v>374</v>
      </c>
      <c r="D23" s="144"/>
      <c r="E23" s="100"/>
      <c r="F23" s="101"/>
      <c r="G23" s="145">
        <f>ROUNDDOWN(SUM(G22),0)</f>
        <v>0</v>
      </c>
      <c r="H23" s="122"/>
      <c r="I23" s="145">
        <f>ROUNDDOWN(SUM(I22),0)</f>
        <v>112495</v>
      </c>
      <c r="J23" s="114">
        <f>SUM(G23,I23)</f>
        <v>112495</v>
      </c>
      <c r="K23" s="104"/>
    </row>
    <row r="24" spans="1:11" s="74" customFormat="1" ht="21.75" customHeight="1" x14ac:dyDescent="0.6">
      <c r="A24" s="41" t="s">
        <v>395</v>
      </c>
      <c r="B24" s="42"/>
      <c r="C24" s="43" t="s">
        <v>372</v>
      </c>
      <c r="D24" s="44"/>
      <c r="E24" s="42"/>
      <c r="F24" s="45"/>
      <c r="G24" s="46"/>
      <c r="H24" s="46"/>
      <c r="I24" s="45"/>
      <c r="J24" s="47"/>
      <c r="K24" s="48"/>
    </row>
    <row r="25" spans="1:11" s="74" customFormat="1" ht="21.75" customHeight="1" x14ac:dyDescent="0.6">
      <c r="A25" s="41" t="str">
        <f>'แบบ ปร.6'!$A$2</f>
        <v>สถานที่ก่อสร้าง</v>
      </c>
      <c r="B25" s="42"/>
      <c r="C25" s="50"/>
      <c r="D25" s="51"/>
      <c r="E25" s="42"/>
      <c r="F25" s="52" t="s">
        <v>120</v>
      </c>
      <c r="G25" s="53" t="s">
        <v>396</v>
      </c>
      <c r="H25" s="53"/>
      <c r="I25" s="52" t="s">
        <v>143</v>
      </c>
      <c r="J25" s="54"/>
      <c r="K25" s="55"/>
    </row>
    <row r="26" spans="1:11" ht="21.75" customHeight="1" x14ac:dyDescent="0.6">
      <c r="A26" s="41" t="s">
        <v>397</v>
      </c>
      <c r="B26" s="42"/>
      <c r="C26" s="43" t="str">
        <f>'แบบ ปร.6'!$A$4</f>
        <v>สำนักบริหารจัดการน้ำ  กรมทรัพยากรน้ำ</v>
      </c>
      <c r="D26" s="51"/>
      <c r="E26" s="42"/>
      <c r="F26" s="52"/>
      <c r="G26" s="53"/>
      <c r="H26" s="53"/>
      <c r="I26" s="52"/>
      <c r="J26" s="54"/>
      <c r="K26" s="55"/>
    </row>
    <row r="27" spans="1:11" ht="21.75" customHeight="1" x14ac:dyDescent="0.6">
      <c r="A27" s="41" t="s">
        <v>398</v>
      </c>
      <c r="B27" s="42"/>
      <c r="C27" s="50"/>
      <c r="D27" s="51"/>
      <c r="E27" s="42"/>
      <c r="F27" s="52" t="s">
        <v>399</v>
      </c>
      <c r="G27" s="56">
        <f>'แบบ ปร.6'!$C$5</f>
        <v>37950</v>
      </c>
      <c r="H27" s="57"/>
      <c r="I27" s="45"/>
      <c r="J27" s="47"/>
      <c r="K27" s="48"/>
    </row>
    <row r="28" spans="1:11" ht="21.75" customHeight="1" x14ac:dyDescent="0.6">
      <c r="A28" s="58"/>
      <c r="B28" s="59"/>
      <c r="C28" s="59"/>
      <c r="D28" s="60"/>
      <c r="E28" s="59"/>
      <c r="F28" s="61"/>
      <c r="G28" s="62"/>
      <c r="H28" s="62"/>
      <c r="I28" s="61"/>
      <c r="J28" s="63"/>
    </row>
    <row r="29" spans="1:11" ht="21.75" customHeight="1" x14ac:dyDescent="0.6">
      <c r="A29" s="64" t="s">
        <v>522</v>
      </c>
      <c r="B29" s="65" t="s">
        <v>125</v>
      </c>
      <c r="C29" s="66"/>
      <c r="D29" s="67" t="s">
        <v>400</v>
      </c>
      <c r="E29" s="68"/>
      <c r="F29" s="69" t="s">
        <v>401</v>
      </c>
      <c r="G29" s="70"/>
      <c r="H29" s="69" t="s">
        <v>402</v>
      </c>
      <c r="I29" s="71"/>
      <c r="J29" s="72" t="s">
        <v>403</v>
      </c>
      <c r="K29" s="73" t="s">
        <v>761</v>
      </c>
    </row>
    <row r="30" spans="1:11" ht="21.75" customHeight="1" x14ac:dyDescent="0.6">
      <c r="A30" s="75"/>
      <c r="B30" s="76"/>
      <c r="C30" s="77"/>
      <c r="D30" s="78"/>
      <c r="E30" s="79"/>
      <c r="F30" s="80" t="s">
        <v>404</v>
      </c>
      <c r="G30" s="81" t="s">
        <v>381</v>
      </c>
      <c r="H30" s="80" t="s">
        <v>404</v>
      </c>
      <c r="I30" s="82" t="s">
        <v>381</v>
      </c>
      <c r="J30" s="83" t="s">
        <v>491</v>
      </c>
      <c r="K30" s="84"/>
    </row>
    <row r="31" spans="1:11" ht="21.75" customHeight="1" x14ac:dyDescent="0.6">
      <c r="A31" s="135"/>
      <c r="B31" s="143" t="s">
        <v>278</v>
      </c>
      <c r="C31" s="146"/>
      <c r="D31" s="147"/>
      <c r="E31" s="139"/>
      <c r="F31" s="148"/>
      <c r="G31" s="118"/>
      <c r="H31" s="85"/>
      <c r="I31" s="118"/>
      <c r="J31" s="115"/>
      <c r="K31" s="143"/>
    </row>
    <row r="32" spans="1:11" ht="21.75" customHeight="1" x14ac:dyDescent="0.6">
      <c r="A32" s="113">
        <v>1</v>
      </c>
      <c r="B32" s="86" t="str">
        <f t="array" ref="B32:B36">[1]งานไฟฟ้า!$B$6:$B$10</f>
        <v>เสาไฟฟ้า คอร. ยาวไม่น้อยกว่า 8.00 ม.</v>
      </c>
      <c r="C32" s="110"/>
      <c r="D32" s="107">
        <v>1</v>
      </c>
      <c r="E32" s="108" t="str">
        <f t="array" ref="E32:F36">[1]งานไฟฟ้า!$C$6:$D$10</f>
        <v>ต้น</v>
      </c>
      <c r="F32" s="109">
        <v>1500</v>
      </c>
      <c r="G32" s="109">
        <f>IF(F32="-","-",D32*F32)</f>
        <v>1500</v>
      </c>
      <c r="H32" s="109">
        <f t="array" ref="H32:H36">[1]งานไฟฟ้า!$E$6:$E$10</f>
        <v>500</v>
      </c>
      <c r="I32" s="109">
        <f>IF(H32="-","-",H32*D32)</f>
        <v>500</v>
      </c>
      <c r="J32" s="111">
        <f>SUM(G32,I32)</f>
        <v>2000</v>
      </c>
      <c r="K32" s="110"/>
    </row>
    <row r="33" spans="1:11" ht="21.75" customHeight="1" x14ac:dyDescent="0.6">
      <c r="A33" s="113">
        <v>2</v>
      </c>
      <c r="B33" s="86" t="str">
        <v>สายไฟฟ้าอลูมิเนียมหุ้มฉนวน พื้นที่หน้าตัดไม่น้อยกว่า 25 ตร.มม.</v>
      </c>
      <c r="C33" s="110"/>
      <c r="D33" s="105">
        <v>40</v>
      </c>
      <c r="E33" s="116" t="str">
        <v>ม.</v>
      </c>
      <c r="F33" s="109">
        <v>25</v>
      </c>
      <c r="G33" s="109">
        <f>IF(F33="-","-",D33*F33)</f>
        <v>1000</v>
      </c>
      <c r="H33" s="109" t="str">
        <v>-</v>
      </c>
      <c r="I33" s="109" t="str">
        <f>IF(H33="-","-",H33*D33)</f>
        <v>-</v>
      </c>
      <c r="J33" s="111">
        <f>SUM(G33,I33)</f>
        <v>1000</v>
      </c>
      <c r="K33" s="110"/>
    </row>
    <row r="34" spans="1:11" ht="21.75" customHeight="1" x14ac:dyDescent="0.6">
      <c r="A34" s="113">
        <v>3</v>
      </c>
      <c r="B34" s="112" t="str">
        <v>แผงควบคุมไฟฟ้าในโรงสูบน้ำ</v>
      </c>
      <c r="C34" s="110"/>
      <c r="D34" s="105">
        <v>1</v>
      </c>
      <c r="E34" s="116" t="str">
        <v>ชุด</v>
      </c>
      <c r="F34" s="109">
        <v>2000</v>
      </c>
      <c r="G34" s="109">
        <f>IF(F34="-","-",D34*F34)</f>
        <v>2000</v>
      </c>
      <c r="H34" s="109">
        <v>200</v>
      </c>
      <c r="I34" s="109">
        <f>IF(H34="-","-",H34*D34)</f>
        <v>200</v>
      </c>
      <c r="J34" s="111">
        <f>SUM(G34,I34)</f>
        <v>2200</v>
      </c>
      <c r="K34" s="110"/>
    </row>
    <row r="35" spans="1:11" ht="21.75" customHeight="1" x14ac:dyDescent="0.6">
      <c r="A35" s="113">
        <v>4</v>
      </c>
      <c r="B35" s="112" t="str">
        <v>อุปกรณ์โยงยึดสายไฟฟ้า</v>
      </c>
      <c r="C35" s="110"/>
      <c r="D35" s="105">
        <v>2</v>
      </c>
      <c r="E35" s="149" t="str">
        <v>รายการ</v>
      </c>
      <c r="F35" s="109">
        <v>1750</v>
      </c>
      <c r="G35" s="109">
        <f>IF(F35="-","-",D35*F35)</f>
        <v>3500</v>
      </c>
      <c r="H35" s="109" t="str">
        <v>-</v>
      </c>
      <c r="I35" s="109" t="str">
        <f>IF(H35="-","-",H35*D35)</f>
        <v>-</v>
      </c>
      <c r="J35" s="111">
        <f>SUM(G35,I35)</f>
        <v>3500</v>
      </c>
      <c r="K35" s="110"/>
    </row>
    <row r="36" spans="1:11" s="74" customFormat="1" ht="21.75" customHeight="1" x14ac:dyDescent="0.6">
      <c r="A36" s="113">
        <v>5</v>
      </c>
      <c r="B36" s="112" t="str">
        <v>สวิทซ์ลูกลอยอัตโนมัติ</v>
      </c>
      <c r="C36" s="110"/>
      <c r="D36" s="105">
        <v>3</v>
      </c>
      <c r="E36" s="116" t="str">
        <v>ชุด</v>
      </c>
      <c r="F36" s="109">
        <v>1200</v>
      </c>
      <c r="G36" s="109">
        <f>IF(F36="-","-",D36*F36)</f>
        <v>3600</v>
      </c>
      <c r="H36" s="109">
        <v>200</v>
      </c>
      <c r="I36" s="109">
        <f>IF(H36="-","-",H36*D36)</f>
        <v>600</v>
      </c>
      <c r="J36" s="111">
        <f>SUM(G36,I36)</f>
        <v>4200</v>
      </c>
      <c r="K36" s="110"/>
    </row>
    <row r="37" spans="1:11" s="74" customFormat="1" ht="21.75" customHeight="1" x14ac:dyDescent="0.6">
      <c r="A37" s="113"/>
      <c r="B37" s="112"/>
      <c r="C37" s="110"/>
      <c r="D37" s="105"/>
      <c r="E37" s="116"/>
      <c r="F37" s="109"/>
      <c r="G37" s="109"/>
      <c r="H37" s="109"/>
      <c r="I37" s="109"/>
      <c r="J37" s="110"/>
      <c r="K37" s="110"/>
    </row>
    <row r="38" spans="1:11" ht="21.75" customHeight="1" x14ac:dyDescent="0.6">
      <c r="A38" s="88"/>
      <c r="B38" s="89"/>
      <c r="C38" s="90" t="s">
        <v>373</v>
      </c>
      <c r="D38" s="91"/>
      <c r="E38" s="92"/>
      <c r="F38" s="93"/>
      <c r="G38" s="94">
        <f>SUM(G32:G37)</f>
        <v>11600</v>
      </c>
      <c r="H38" s="95"/>
      <c r="I38" s="94">
        <f>SUM(I32:I37)</f>
        <v>1300</v>
      </c>
      <c r="J38" s="117">
        <f>SUM(J32:J37)</f>
        <v>12900</v>
      </c>
      <c r="K38" s="96"/>
    </row>
    <row r="39" spans="1:11" ht="21.75" customHeight="1" x14ac:dyDescent="0.6">
      <c r="A39" s="83"/>
      <c r="B39" s="97"/>
      <c r="C39" s="98" t="s">
        <v>405</v>
      </c>
      <c r="D39" s="99"/>
      <c r="E39" s="100"/>
      <c r="F39" s="101"/>
      <c r="G39" s="102"/>
      <c r="H39" s="103"/>
      <c r="I39" s="102"/>
      <c r="J39" s="102">
        <f>ROUNDDOWN(J38,0)</f>
        <v>12900</v>
      </c>
      <c r="K39" s="104"/>
    </row>
    <row r="40" spans="1:11" ht="21.75" customHeight="1" x14ac:dyDescent="0.6">
      <c r="B40" s="150" t="s">
        <v>741</v>
      </c>
      <c r="C40" s="150"/>
      <c r="D40" s="151"/>
      <c r="E40" s="150"/>
      <c r="F40" s="152"/>
      <c r="G40" s="153"/>
      <c r="H40" s="154"/>
      <c r="I40" s="154"/>
    </row>
    <row r="41" spans="1:11" ht="21.75" customHeight="1" x14ac:dyDescent="0.6">
      <c r="A41" s="49" t="s">
        <v>627</v>
      </c>
      <c r="F41" s="105" t="s">
        <v>140</v>
      </c>
      <c r="G41" s="49" t="s">
        <v>630</v>
      </c>
    </row>
    <row r="42" spans="1:11" ht="21.75" customHeight="1" x14ac:dyDescent="0.6">
      <c r="B42" s="49" t="s">
        <v>626</v>
      </c>
      <c r="F42" s="105"/>
      <c r="G42" s="49" t="s">
        <v>629</v>
      </c>
      <c r="H42" s="60"/>
      <c r="I42" s="60"/>
      <c r="J42" s="60"/>
      <c r="K42" s="60"/>
    </row>
    <row r="43" spans="1:11" ht="21.75" customHeight="1" x14ac:dyDescent="0.6">
      <c r="F43" s="105"/>
      <c r="H43" s="60"/>
      <c r="I43" s="60"/>
      <c r="J43" s="60"/>
      <c r="K43" s="60"/>
    </row>
    <row r="44" spans="1:11" ht="21.75" customHeight="1" x14ac:dyDescent="0.6">
      <c r="A44" s="49" t="s">
        <v>628</v>
      </c>
      <c r="B44"/>
      <c r="F44" s="105" t="s">
        <v>141</v>
      </c>
      <c r="G44" s="49" t="s">
        <v>630</v>
      </c>
      <c r="H44" s="60"/>
      <c r="I44" s="60"/>
      <c r="J44" s="60"/>
      <c r="K44" s="60"/>
    </row>
    <row r="45" spans="1:11" ht="21.75" customHeight="1" x14ac:dyDescent="0.6">
      <c r="B45" s="49" t="s">
        <v>626</v>
      </c>
      <c r="G45" s="49" t="s">
        <v>629</v>
      </c>
      <c r="H45" s="60"/>
      <c r="I45" s="60"/>
      <c r="J45" s="60"/>
      <c r="K45" s="60"/>
    </row>
    <row r="46" spans="1:11" ht="21.75" customHeight="1" x14ac:dyDescent="0.6"/>
    <row r="47" spans="1:11" ht="21.75" customHeight="1" x14ac:dyDescent="0.6"/>
    <row r="48" spans="1:11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  <row r="64" ht="21.75" customHeight="1" x14ac:dyDescent="0.6"/>
    <row r="65" ht="21.75" customHeight="1" x14ac:dyDescent="0.6"/>
    <row r="66" ht="21.75" customHeight="1" x14ac:dyDescent="0.6"/>
    <row r="67" ht="21.75" customHeight="1" x14ac:dyDescent="0.6"/>
    <row r="68" ht="21.75" customHeight="1" x14ac:dyDescent="0.6"/>
    <row r="69" ht="21.75" customHeight="1" x14ac:dyDescent="0.6"/>
    <row r="70" ht="21.75" customHeight="1" x14ac:dyDescent="0.6"/>
    <row r="71" ht="21.75" customHeight="1" x14ac:dyDescent="0.6"/>
    <row r="72" ht="21.75" customHeight="1" x14ac:dyDescent="0.6"/>
    <row r="73" ht="21.75" customHeight="1" x14ac:dyDescent="0.6"/>
    <row r="74" ht="21.75" customHeight="1" x14ac:dyDescent="0.6"/>
    <row r="75" ht="21.75" customHeight="1" x14ac:dyDescent="0.6"/>
    <row r="76" ht="21.75" customHeight="1" x14ac:dyDescent="0.6"/>
    <row r="77" ht="21.75" customHeight="1" x14ac:dyDescent="0.6"/>
    <row r="78" ht="21.75" customHeight="1" x14ac:dyDescent="0.6"/>
    <row r="79" ht="21.75" customHeight="1" x14ac:dyDescent="0.6"/>
    <row r="80" ht="21.75" customHeight="1" x14ac:dyDescent="0.6"/>
    <row r="81" ht="21.75" customHeight="1" x14ac:dyDescent="0.6"/>
    <row r="82" ht="21.75" customHeight="1" x14ac:dyDescent="0.6"/>
    <row r="83" ht="21.75" customHeight="1" x14ac:dyDescent="0.6"/>
    <row r="84" ht="21.75" customHeight="1" x14ac:dyDescent="0.6"/>
    <row r="85" ht="21.75" customHeight="1" x14ac:dyDescent="0.6"/>
    <row r="86" ht="21.75" customHeight="1" x14ac:dyDescent="0.6"/>
    <row r="87" ht="21.75" customHeight="1" x14ac:dyDescent="0.6"/>
    <row r="88" ht="21.75" customHeight="1" x14ac:dyDescent="0.6"/>
    <row r="89" ht="21.75" customHeight="1" x14ac:dyDescent="0.6"/>
    <row r="90" ht="21.75" customHeight="1" x14ac:dyDescent="0.6"/>
    <row r="91" ht="21.75" customHeight="1" x14ac:dyDescent="0.6"/>
    <row r="92" ht="21.75" customHeight="1" x14ac:dyDescent="0.6"/>
    <row r="93" ht="21.75" customHeight="1" x14ac:dyDescent="0.6"/>
    <row r="94" ht="21.75" customHeight="1" x14ac:dyDescent="0.6"/>
    <row r="95" ht="21.75" customHeight="1" x14ac:dyDescent="0.6"/>
    <row r="96" ht="21.75" customHeight="1" x14ac:dyDescent="0.6"/>
    <row r="97" ht="21.75" customHeight="1" x14ac:dyDescent="0.6"/>
    <row r="98" ht="21.75" customHeight="1" x14ac:dyDescent="0.6"/>
    <row r="99" ht="21.75" customHeight="1" x14ac:dyDescent="0.6"/>
    <row r="100" ht="21.75" customHeight="1" x14ac:dyDescent="0.6"/>
    <row r="101" ht="21.75" customHeight="1" x14ac:dyDescent="0.6"/>
    <row r="102" ht="21.75" customHeight="1" x14ac:dyDescent="0.6"/>
    <row r="103" ht="21.75" customHeight="1" x14ac:dyDescent="0.6"/>
    <row r="104" ht="21.75" customHeight="1" x14ac:dyDescent="0.6"/>
    <row r="105" ht="21.75" customHeight="1" x14ac:dyDescent="0.6"/>
    <row r="106" ht="21.75" customHeight="1" x14ac:dyDescent="0.6"/>
    <row r="107" ht="21.75" customHeight="1" x14ac:dyDescent="0.6"/>
  </sheetData>
  <phoneticPr fontId="27" type="noConversion"/>
  <printOptions horizontalCentered="1"/>
  <pageMargins left="0.78740157480314965" right="0.39370078740157483" top="0.78740157480314965" bottom="0.78740157480314965" header="0.39370078740157483" footer="0.39370078740157483"/>
  <pageSetup paperSize="9" orientation="landscape" horizontalDpi="4294967295" r:id="rId1"/>
  <headerFooter alignWithMargins="0">
    <oddHeader>&amp;Rแบบ ปร.4 แผ่นที่ &amp;P/2</oddHeader>
    <oddFooter>&amp;L&amp;F&amp;C&amp;A&amp;R&amp;D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4" zoomScale="110" zoomScaleNormal="110" workbookViewId="0">
      <selection activeCell="M9" sqref="M9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20.375" style="272" customWidth="1"/>
    <col min="4" max="4" width="4.75" style="272" customWidth="1"/>
    <col min="5" max="5" width="5.75" style="272" customWidth="1"/>
    <col min="6" max="8" width="8.75" style="272" customWidth="1"/>
    <col min="9" max="9" width="9.75" style="272" customWidth="1"/>
    <col min="10" max="10" width="8.75" style="272" customWidth="1"/>
    <col min="11" max="11" width="8.25" style="272" customWidth="1"/>
    <col min="12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46" t="s">
        <v>1243</v>
      </c>
      <c r="D2" s="647"/>
      <c r="E2" s="645"/>
      <c r="F2" s="648"/>
      <c r="G2" s="649"/>
      <c r="H2" s="649"/>
      <c r="I2" s="653" t="s">
        <v>143</v>
      </c>
      <c r="J2" s="654">
        <v>14</v>
      </c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 t="s">
        <v>120</v>
      </c>
      <c r="J3" s="661" t="s">
        <v>396</v>
      </c>
      <c r="K3" s="661"/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ht="21.75" customHeight="1" x14ac:dyDescent="0.6">
      <c r="A9" s="1184">
        <v>1</v>
      </c>
      <c r="B9" s="1185" t="s">
        <v>149</v>
      </c>
      <c r="C9" s="1186"/>
      <c r="D9" s="1202">
        <v>2</v>
      </c>
      <c r="E9" s="1188" t="s">
        <v>717</v>
      </c>
      <c r="F9" s="1203"/>
      <c r="G9" s="1190"/>
      <c r="H9" s="1203"/>
      <c r="I9" s="1203"/>
      <c r="J9" s="1204"/>
      <c r="K9" s="1186"/>
    </row>
    <row r="10" spans="1:11" ht="21.75" customHeight="1" x14ac:dyDescent="0.6">
      <c r="A10" s="1121">
        <v>2</v>
      </c>
      <c r="B10" s="1131" t="s">
        <v>150</v>
      </c>
      <c r="C10" s="1124"/>
      <c r="D10" s="1197">
        <v>1</v>
      </c>
      <c r="E10" s="1128" t="s">
        <v>717</v>
      </c>
      <c r="F10" s="1123"/>
      <c r="G10" s="1125"/>
      <c r="H10" s="1123"/>
      <c r="I10" s="1123"/>
      <c r="J10" s="1137"/>
      <c r="K10" s="1124"/>
    </row>
    <row r="11" spans="1:11" ht="21.75" customHeight="1" x14ac:dyDescent="0.6">
      <c r="A11" s="1121">
        <v>3</v>
      </c>
      <c r="B11" s="1126" t="s">
        <v>151</v>
      </c>
      <c r="C11" s="1124"/>
      <c r="D11" s="1197">
        <v>1</v>
      </c>
      <c r="E11" s="1128" t="s">
        <v>553</v>
      </c>
      <c r="F11" s="1123"/>
      <c r="G11" s="1125"/>
      <c r="H11" s="1123"/>
      <c r="I11" s="1123"/>
      <c r="J11" s="1137"/>
      <c r="K11" s="1124"/>
    </row>
    <row r="12" spans="1:11" ht="21.75" customHeight="1" x14ac:dyDescent="0.6">
      <c r="A12" s="1121">
        <v>4</v>
      </c>
      <c r="B12" s="1131" t="s">
        <v>835</v>
      </c>
      <c r="C12" s="1124"/>
      <c r="D12" s="1205">
        <v>1</v>
      </c>
      <c r="E12" s="1128" t="s">
        <v>719</v>
      </c>
      <c r="F12" s="1123"/>
      <c r="G12" s="1125"/>
      <c r="H12" s="1123"/>
      <c r="I12" s="1123"/>
      <c r="J12" s="1137"/>
      <c r="K12" s="1124"/>
    </row>
    <row r="13" spans="1:11" ht="21.75" customHeight="1" x14ac:dyDescent="0.6">
      <c r="A13" s="1121"/>
      <c r="B13" s="1131" t="s">
        <v>834</v>
      </c>
      <c r="C13" s="1124"/>
      <c r="D13" s="1205"/>
      <c r="E13" s="1128"/>
      <c r="F13" s="1123"/>
      <c r="G13" s="1125"/>
      <c r="H13" s="1123"/>
      <c r="I13" s="1123"/>
      <c r="J13" s="1137"/>
      <c r="K13" s="1124"/>
    </row>
    <row r="14" spans="1:11" ht="21.75" customHeight="1" x14ac:dyDescent="0.6">
      <c r="A14" s="1121">
        <v>5</v>
      </c>
      <c r="B14" s="1131" t="s">
        <v>718</v>
      </c>
      <c r="C14" s="1124"/>
      <c r="D14" s="1197">
        <v>1</v>
      </c>
      <c r="E14" s="1128" t="s">
        <v>719</v>
      </c>
      <c r="F14" s="1123"/>
      <c r="G14" s="1125"/>
      <c r="H14" s="1123"/>
      <c r="I14" s="1123"/>
      <c r="J14" s="1137"/>
      <c r="K14" s="1124"/>
    </row>
    <row r="15" spans="1:11" ht="21.75" customHeight="1" x14ac:dyDescent="0.6">
      <c r="A15" s="1121">
        <v>6</v>
      </c>
      <c r="B15" s="1131" t="s">
        <v>152</v>
      </c>
      <c r="C15" s="1124"/>
      <c r="D15" s="1197">
        <v>1</v>
      </c>
      <c r="E15" s="1128" t="s">
        <v>719</v>
      </c>
      <c r="F15" s="1123"/>
      <c r="G15" s="1125"/>
      <c r="H15" s="1123"/>
      <c r="I15" s="1123"/>
      <c r="J15" s="1137"/>
      <c r="K15" s="1124"/>
    </row>
    <row r="16" spans="1:11" ht="21.75" customHeight="1" x14ac:dyDescent="0.6">
      <c r="A16" s="1121">
        <v>7</v>
      </c>
      <c r="B16" s="1131" t="s">
        <v>153</v>
      </c>
      <c r="C16" s="1124"/>
      <c r="D16" s="1197">
        <v>1</v>
      </c>
      <c r="E16" s="1128" t="s">
        <v>719</v>
      </c>
      <c r="F16" s="1123"/>
      <c r="G16" s="1125"/>
      <c r="H16" s="1123"/>
      <c r="I16" s="1123"/>
      <c r="J16" s="1137"/>
      <c r="K16" s="1124"/>
    </row>
    <row r="17" spans="1:11" ht="21.75" customHeight="1" x14ac:dyDescent="0.6">
      <c r="A17" s="1121">
        <v>8</v>
      </c>
      <c r="B17" s="1131" t="s">
        <v>154</v>
      </c>
      <c r="C17" s="1124"/>
      <c r="D17" s="1205">
        <v>1</v>
      </c>
      <c r="E17" s="1122" t="s">
        <v>719</v>
      </c>
      <c r="F17" s="1123"/>
      <c r="G17" s="1125"/>
      <c r="H17" s="1123"/>
      <c r="I17" s="1123"/>
      <c r="J17" s="1137"/>
      <c r="K17" s="1124"/>
    </row>
    <row r="18" spans="1:11" ht="21.75" customHeight="1" x14ac:dyDescent="0.6">
      <c r="A18" s="1121">
        <v>9</v>
      </c>
      <c r="B18" s="1131" t="s">
        <v>1153</v>
      </c>
      <c r="C18" s="1124"/>
      <c r="D18" s="1205">
        <v>1</v>
      </c>
      <c r="E18" s="1122" t="s">
        <v>719</v>
      </c>
      <c r="F18" s="1123"/>
      <c r="G18" s="1125"/>
      <c r="H18" s="1123"/>
      <c r="I18" s="1123"/>
      <c r="J18" s="1137"/>
      <c r="K18" s="1124"/>
    </row>
    <row r="19" spans="1:11" ht="21.75" customHeight="1" x14ac:dyDescent="0.6">
      <c r="A19" s="1121"/>
      <c r="B19" s="1131" t="s">
        <v>828</v>
      </c>
      <c r="C19" s="1124"/>
      <c r="D19" s="1205"/>
      <c r="E19" s="1206"/>
      <c r="F19" s="1207"/>
      <c r="G19" s="1125"/>
      <c r="H19" s="1123"/>
      <c r="I19" s="1123"/>
      <c r="J19" s="1137"/>
      <c r="K19" s="1124"/>
    </row>
    <row r="20" spans="1:11" ht="21.75" customHeight="1" x14ac:dyDescent="0.6">
      <c r="A20" s="1121">
        <v>10</v>
      </c>
      <c r="B20" s="1131" t="s">
        <v>827</v>
      </c>
      <c r="C20" s="1124"/>
      <c r="D20" s="1205">
        <v>1</v>
      </c>
      <c r="E20" s="1122" t="s">
        <v>5</v>
      </c>
      <c r="F20" s="1123"/>
      <c r="G20" s="1125"/>
      <c r="H20" s="1123"/>
      <c r="I20" s="1123"/>
      <c r="J20" s="1137"/>
      <c r="K20" s="1124"/>
    </row>
    <row r="21" spans="1:11" ht="21.75" customHeight="1" x14ac:dyDescent="0.6">
      <c r="A21" s="1183"/>
      <c r="B21" s="1131" t="s">
        <v>1709</v>
      </c>
      <c r="C21" s="1124"/>
      <c r="D21" s="1205"/>
      <c r="E21" s="1122"/>
      <c r="F21" s="1123"/>
      <c r="G21" s="1125"/>
      <c r="H21" s="1123"/>
      <c r="I21" s="1123"/>
      <c r="J21" s="1137"/>
      <c r="K21" s="1124"/>
    </row>
    <row r="22" spans="1:11" ht="21.75" customHeight="1" x14ac:dyDescent="0.6">
      <c r="A22" s="1183"/>
      <c r="B22" s="1131" t="s">
        <v>829</v>
      </c>
      <c r="C22" s="1124"/>
      <c r="D22" s="1205"/>
      <c r="E22" s="1122"/>
      <c r="F22" s="1123"/>
      <c r="G22" s="1125"/>
      <c r="H22" s="1123"/>
      <c r="I22" s="1123"/>
      <c r="J22" s="1137"/>
      <c r="K22" s="1124"/>
    </row>
    <row r="23" spans="1:11" ht="21.75" customHeight="1" x14ac:dyDescent="0.6">
      <c r="A23" s="1183">
        <v>11</v>
      </c>
      <c r="B23" s="1131" t="s">
        <v>830</v>
      </c>
      <c r="C23" s="1124"/>
      <c r="D23" s="1205">
        <v>1</v>
      </c>
      <c r="E23" s="1122" t="s">
        <v>717</v>
      </c>
      <c r="F23" s="1139"/>
      <c r="G23" s="1125"/>
      <c r="H23" s="1139"/>
      <c r="I23" s="1123"/>
      <c r="J23" s="1125"/>
      <c r="K23" s="1124"/>
    </row>
    <row r="24" spans="1:11" ht="21.75" customHeight="1" x14ac:dyDescent="0.6">
      <c r="A24" s="1183"/>
      <c r="B24" s="1131" t="s">
        <v>831</v>
      </c>
      <c r="C24" s="1124"/>
      <c r="D24" s="1205"/>
      <c r="E24" s="1122"/>
      <c r="F24" s="1139"/>
      <c r="G24" s="1193"/>
      <c r="H24" s="1139"/>
      <c r="I24" s="1123"/>
      <c r="J24" s="1198"/>
      <c r="K24" s="1124"/>
    </row>
    <row r="25" spans="1:11" ht="21.75" customHeight="1" x14ac:dyDescent="0.6">
      <c r="A25" s="1183"/>
      <c r="B25" s="1131" t="s">
        <v>833</v>
      </c>
      <c r="C25" s="1124"/>
      <c r="D25" s="1205"/>
      <c r="E25" s="1122"/>
      <c r="F25" s="1139"/>
      <c r="G25" s="1193"/>
      <c r="H25" s="1139"/>
      <c r="I25" s="1123"/>
      <c r="J25" s="1198"/>
      <c r="K25" s="1124"/>
    </row>
    <row r="26" spans="1:11" ht="21.75" customHeight="1" x14ac:dyDescent="0.6">
      <c r="A26" s="1183"/>
      <c r="B26" s="1131" t="s">
        <v>832</v>
      </c>
      <c r="C26" s="1124"/>
      <c r="D26" s="1205"/>
      <c r="E26" s="1122"/>
      <c r="F26" s="1139"/>
      <c r="G26" s="1193"/>
      <c r="H26" s="1139"/>
      <c r="I26" s="1123"/>
      <c r="J26" s="1124"/>
      <c r="K26" s="1124"/>
    </row>
    <row r="27" spans="1:11" ht="21.75" customHeight="1" x14ac:dyDescent="0.6">
      <c r="A27" s="1183"/>
      <c r="B27" s="1131"/>
      <c r="C27" s="1124"/>
      <c r="D27" s="1205"/>
      <c r="E27" s="1122"/>
      <c r="F27" s="1139"/>
      <c r="G27" s="1193"/>
      <c r="H27" s="1139"/>
      <c r="I27" s="1123"/>
      <c r="J27" s="1124"/>
      <c r="K27" s="1124"/>
    </row>
    <row r="28" spans="1:11" ht="21.75" customHeight="1" x14ac:dyDescent="0.6">
      <c r="A28" s="1194"/>
      <c r="B28" s="1141"/>
      <c r="C28" s="1142" t="s">
        <v>373</v>
      </c>
      <c r="D28" s="1143"/>
      <c r="E28" s="1144"/>
      <c r="F28" s="1145"/>
      <c r="G28" s="1146"/>
      <c r="H28" s="1147"/>
      <c r="I28" s="1146"/>
      <c r="J28" s="1148"/>
      <c r="K28" s="1195"/>
    </row>
    <row r="29" spans="1:11" ht="21.75" customHeight="1" x14ac:dyDescent="0.6">
      <c r="A29" s="1119"/>
      <c r="B29" s="1150"/>
      <c r="C29" s="1133" t="s">
        <v>374</v>
      </c>
      <c r="D29" s="1151"/>
      <c r="E29" s="1120"/>
      <c r="F29" s="1152"/>
      <c r="G29" s="1134"/>
      <c r="H29" s="1153"/>
      <c r="I29" s="1134"/>
      <c r="J29" s="1134"/>
      <c r="K29" s="1196"/>
    </row>
    <row r="30" spans="1:11" ht="9" customHeight="1" x14ac:dyDescent="0.6">
      <c r="A30" s="1117"/>
      <c r="B30" s="1117"/>
      <c r="C30" s="1117"/>
      <c r="D30" s="1117"/>
      <c r="E30" s="1117"/>
      <c r="F30" s="1117"/>
      <c r="G30" s="1117"/>
      <c r="H30" s="1117"/>
      <c r="I30" s="1117"/>
      <c r="J30" s="1117"/>
      <c r="K30" s="1117"/>
    </row>
    <row r="31" spans="1:11" ht="21.75" customHeight="1" x14ac:dyDescent="0.6">
      <c r="A31" s="1117"/>
      <c r="B31" s="1117"/>
      <c r="C31" s="1117"/>
      <c r="D31" s="1117"/>
      <c r="E31" s="1117"/>
      <c r="F31" s="1117"/>
      <c r="G31" s="1117"/>
      <c r="H31" s="1117"/>
      <c r="I31" s="1117"/>
      <c r="J31" s="1117"/>
      <c r="K31" s="1117"/>
    </row>
    <row r="32" spans="1:11" ht="21.75" customHeight="1" x14ac:dyDescent="0.6">
      <c r="A32" s="1117"/>
      <c r="B32" s="1117"/>
      <c r="C32" s="1117"/>
      <c r="D32" s="1117"/>
      <c r="E32" s="1117"/>
      <c r="F32" s="1117"/>
      <c r="G32" s="1117"/>
      <c r="H32" s="1117" t="s">
        <v>809</v>
      </c>
      <c r="I32" s="1117"/>
      <c r="J32" s="1117"/>
      <c r="K32" s="1117"/>
    </row>
    <row r="33" spans="1:11" ht="21.75" customHeight="1" x14ac:dyDescent="0.6">
      <c r="A33" s="1117"/>
      <c r="B33" s="1117"/>
      <c r="C33" s="1117"/>
      <c r="D33" s="1117"/>
      <c r="E33" s="1117"/>
      <c r="F33" s="1117"/>
      <c r="G33" s="1117"/>
      <c r="H33" s="1117"/>
      <c r="I33" s="1117"/>
      <c r="J33" s="1117"/>
      <c r="K33" s="1117"/>
    </row>
    <row r="34" spans="1:11" ht="21.75" customHeight="1" x14ac:dyDescent="0.6"/>
    <row r="35" spans="1:11" ht="21.75" customHeight="1" x14ac:dyDescent="0.6"/>
    <row r="36" spans="1:11" ht="21.75" customHeight="1" x14ac:dyDescent="0.6"/>
    <row r="37" spans="1:11" ht="21.75" customHeight="1" x14ac:dyDescent="0.6"/>
    <row r="38" spans="1:11" ht="21.75" customHeight="1" x14ac:dyDescent="0.6"/>
    <row r="39" spans="1:11" ht="21.75" customHeight="1" x14ac:dyDescent="0.6"/>
    <row r="40" spans="1:11" ht="21.75" customHeight="1" x14ac:dyDescent="0.6"/>
    <row r="41" spans="1:11" ht="21.75" customHeight="1" x14ac:dyDescent="0.6"/>
    <row r="42" spans="1:11" ht="21.75" customHeight="1" x14ac:dyDescent="0.6"/>
    <row r="43" spans="1:11" ht="21.75" customHeight="1" x14ac:dyDescent="0.6"/>
    <row r="44" spans="1:11" ht="21.75" customHeight="1" x14ac:dyDescent="0.6"/>
    <row r="45" spans="1:11" ht="21.75" customHeight="1" x14ac:dyDescent="0.6"/>
    <row r="46" spans="1:11" ht="21.75" customHeight="1" x14ac:dyDescent="0.6"/>
    <row r="47" spans="1:11" ht="21.75" customHeight="1" x14ac:dyDescent="0.6"/>
    <row r="48" spans="1:11" ht="21.75" customHeight="1" x14ac:dyDescent="0.6"/>
    <row r="49" ht="21.75" customHeight="1" x14ac:dyDescent="0.6"/>
    <row r="50" ht="21.75" customHeight="1" x14ac:dyDescent="0.6"/>
    <row r="51" ht="21.75" customHeight="1" x14ac:dyDescent="0.6"/>
    <row r="52" ht="21.75" customHeight="1" x14ac:dyDescent="0.6"/>
    <row r="53" ht="21.75" customHeight="1" x14ac:dyDescent="0.6"/>
    <row r="54" ht="21.75" customHeight="1" x14ac:dyDescent="0.6"/>
    <row r="55" ht="21.75" customHeight="1" x14ac:dyDescent="0.6"/>
    <row r="56" ht="21.75" customHeight="1" x14ac:dyDescent="0.6"/>
    <row r="57" ht="21.75" customHeight="1" x14ac:dyDescent="0.6"/>
    <row r="58" ht="21.75" customHeight="1" x14ac:dyDescent="0.6"/>
    <row r="59" ht="21.75" customHeight="1" x14ac:dyDescent="0.6"/>
    <row r="60" ht="21.75" customHeight="1" x14ac:dyDescent="0.6"/>
    <row r="61" ht="21.75" customHeight="1" x14ac:dyDescent="0.6"/>
    <row r="62" ht="21.75" customHeight="1" x14ac:dyDescent="0.6"/>
    <row r="63" ht="21.75" customHeight="1" x14ac:dyDescent="0.6"/>
  </sheetData>
  <phoneticPr fontId="27" type="noConversion"/>
  <printOptions horizontalCentered="1"/>
  <pageMargins left="0.5" right="0.3" top="0.75" bottom="0.5" header="0.5" footer="0.25"/>
  <pageSetup paperSize="9" orientation="portrait" r:id="rId1"/>
  <headerFooter alignWithMargins="0">
    <oddHeader xml:space="preserve">&amp;Rแบบ ปร.4 แผ่นที่ &amp;P/1 
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90" workbookViewId="0">
      <selection activeCell="F9" sqref="F9:J14"/>
    </sheetView>
  </sheetViews>
  <sheetFormatPr defaultColWidth="9.125" defaultRowHeight="21" x14ac:dyDescent="0.6"/>
  <cols>
    <col min="1" max="1" width="5.625" style="272" customWidth="1"/>
    <col min="2" max="2" width="14.75" style="272" customWidth="1"/>
    <col min="3" max="3" width="18.75" style="272" customWidth="1"/>
    <col min="4" max="4" width="4.75" style="272" customWidth="1"/>
    <col min="5" max="5" width="5.75" style="272" customWidth="1"/>
    <col min="6" max="10" width="8.75" style="272" customWidth="1"/>
    <col min="11" max="11" width="7.875" style="272" customWidth="1"/>
    <col min="12" max="12" width="1.125" style="272" customWidth="1"/>
    <col min="13" max="16384" width="9.125" style="272"/>
  </cols>
  <sheetData>
    <row r="1" spans="1:11" s="652" customFormat="1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1" s="652" customFormat="1" ht="23.25" customHeight="1" x14ac:dyDescent="0.35">
      <c r="A2" s="644" t="s">
        <v>822</v>
      </c>
      <c r="B2" s="645"/>
      <c r="C2" s="646" t="s">
        <v>1242</v>
      </c>
      <c r="D2" s="647"/>
      <c r="E2" s="645"/>
      <c r="F2" s="648"/>
      <c r="G2" s="649"/>
      <c r="H2" s="649"/>
      <c r="I2" s="653" t="s">
        <v>143</v>
      </c>
      <c r="J2" s="654">
        <v>15</v>
      </c>
      <c r="K2" s="651"/>
    </row>
    <row r="3" spans="1:11" s="652" customFormat="1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45"/>
      <c r="F3" s="645"/>
      <c r="G3" s="645"/>
      <c r="H3" s="645"/>
      <c r="I3" s="657" t="s">
        <v>120</v>
      </c>
      <c r="J3" s="661" t="s">
        <v>396</v>
      </c>
      <c r="K3" s="661"/>
    </row>
    <row r="4" spans="1:11" s="652" customFormat="1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1" s="652" customFormat="1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1" s="652" customFormat="1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1" s="652" customFormat="1" ht="24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1" s="652" customFormat="1" ht="24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1" ht="24" customHeight="1" x14ac:dyDescent="0.6">
      <c r="A9" s="1184">
        <v>1</v>
      </c>
      <c r="B9" s="1208" t="s">
        <v>155</v>
      </c>
      <c r="C9" s="1186"/>
      <c r="D9" s="1202">
        <v>1</v>
      </c>
      <c r="E9" s="1188" t="s">
        <v>553</v>
      </c>
      <c r="F9" s="1203"/>
      <c r="G9" s="1190"/>
      <c r="H9" s="1203"/>
      <c r="I9" s="1203"/>
      <c r="J9" s="1204"/>
      <c r="K9" s="1186"/>
    </row>
    <row r="10" spans="1:11" ht="24" customHeight="1" x14ac:dyDescent="0.6">
      <c r="A10" s="1121">
        <v>2</v>
      </c>
      <c r="B10" s="1117" t="s">
        <v>156</v>
      </c>
      <c r="C10" s="1124"/>
      <c r="D10" s="1197">
        <v>1</v>
      </c>
      <c r="E10" s="1128" t="s">
        <v>553</v>
      </c>
      <c r="F10" s="1123"/>
      <c r="G10" s="1125"/>
      <c r="H10" s="1123"/>
      <c r="I10" s="1123"/>
      <c r="J10" s="1137"/>
      <c r="K10" s="1124"/>
    </row>
    <row r="11" spans="1:11" ht="24" customHeight="1" x14ac:dyDescent="0.6">
      <c r="A11" s="1121"/>
      <c r="B11" s="1131" t="s">
        <v>741</v>
      </c>
      <c r="C11" s="1124"/>
      <c r="D11" s="1209"/>
      <c r="E11" s="1128"/>
      <c r="F11" s="1123"/>
      <c r="G11" s="1125"/>
      <c r="H11" s="1123"/>
      <c r="I11" s="1123"/>
      <c r="J11" s="1124"/>
      <c r="K11" s="1124"/>
    </row>
    <row r="12" spans="1:11" ht="24" customHeight="1" x14ac:dyDescent="0.6">
      <c r="A12" s="1121"/>
      <c r="B12" s="1131"/>
      <c r="C12" s="1124"/>
      <c r="D12" s="1209"/>
      <c r="E12" s="1128"/>
      <c r="F12" s="1123"/>
      <c r="G12" s="1125"/>
      <c r="H12" s="1123"/>
      <c r="I12" s="1123"/>
      <c r="J12" s="1124"/>
      <c r="K12" s="1124"/>
    </row>
    <row r="13" spans="1:11" ht="24" customHeight="1" x14ac:dyDescent="0.6">
      <c r="A13" s="1194"/>
      <c r="B13" s="1141"/>
      <c r="C13" s="1142" t="s">
        <v>373</v>
      </c>
      <c r="D13" s="1143"/>
      <c r="E13" s="1144"/>
      <c r="F13" s="1145"/>
      <c r="G13" s="1146"/>
      <c r="H13" s="1147"/>
      <c r="I13" s="1146"/>
      <c r="J13" s="1148"/>
      <c r="K13" s="1195"/>
    </row>
    <row r="14" spans="1:11" ht="24" customHeight="1" x14ac:dyDescent="0.6">
      <c r="A14" s="1119"/>
      <c r="B14" s="1150"/>
      <c r="C14" s="1133" t="s">
        <v>374</v>
      </c>
      <c r="D14" s="1151"/>
      <c r="E14" s="1120"/>
      <c r="F14" s="1152"/>
      <c r="G14" s="1134"/>
      <c r="H14" s="1153"/>
      <c r="I14" s="1134"/>
      <c r="J14" s="1134"/>
      <c r="K14" s="1196"/>
    </row>
    <row r="15" spans="1:11" ht="21.75" customHeight="1" x14ac:dyDescent="0.6"/>
    <row r="16" spans="1:11" ht="21.75" customHeight="1" x14ac:dyDescent="0.6">
      <c r="H16" s="272" t="s">
        <v>809</v>
      </c>
    </row>
  </sheetData>
  <phoneticPr fontId="27" type="noConversion"/>
  <printOptions horizontalCentered="1"/>
  <pageMargins left="0.5" right="0.3" top="0.75" bottom="0.5" header="0.5" footer="0.25"/>
  <pageSetup paperSize="9" orientation="portrait" r:id="rId1"/>
  <headerFooter alignWithMargins="0">
    <oddHeader>&amp;Rแบบ ปร.4 แผ่นที่ &amp;P/1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topLeftCell="A13" zoomScale="120" zoomScaleNormal="130" zoomScaleSheetLayoutView="120" workbookViewId="0">
      <selection activeCell="B15" sqref="B15"/>
    </sheetView>
  </sheetViews>
  <sheetFormatPr defaultColWidth="9.125" defaultRowHeight="18" x14ac:dyDescent="0.35"/>
  <cols>
    <col min="1" max="1" width="5.625" style="652" customWidth="1"/>
    <col min="2" max="2" width="14.75" style="652" customWidth="1"/>
    <col min="3" max="3" width="18.75" style="652" customWidth="1"/>
    <col min="4" max="4" width="4.25" style="652" customWidth="1"/>
    <col min="5" max="5" width="6" style="652" customWidth="1"/>
    <col min="6" max="6" width="10.125" style="652" customWidth="1"/>
    <col min="7" max="7" width="8.75" style="652" customWidth="1"/>
    <col min="8" max="8" width="13.25" style="652" customWidth="1"/>
    <col min="9" max="11" width="8.75" style="652" customWidth="1"/>
    <col min="12" max="12" width="0.875" style="652" customWidth="1"/>
    <col min="13" max="13" width="2.375" style="652" customWidth="1"/>
    <col min="14" max="16384" width="9.125" style="652"/>
  </cols>
  <sheetData>
    <row r="1" spans="1:15" ht="23.25" customHeight="1" x14ac:dyDescent="0.35">
      <c r="A1" s="644" t="s">
        <v>806</v>
      </c>
      <c r="B1" s="645"/>
      <c r="C1" s="646" t="str">
        <f>ปร.5!E6</f>
        <v xml:space="preserve">ก่อสร้างระบบประปาหมู่บ้าน (ปากน้ำ 3) </v>
      </c>
      <c r="D1" s="647"/>
      <c r="E1" s="645"/>
      <c r="F1" s="648"/>
      <c r="G1" s="649"/>
      <c r="H1" s="649"/>
      <c r="I1" s="648"/>
      <c r="J1" s="650"/>
      <c r="K1" s="651"/>
    </row>
    <row r="2" spans="1:15" ht="23.25" customHeight="1" x14ac:dyDescent="0.35">
      <c r="A2" s="644" t="s">
        <v>822</v>
      </c>
      <c r="B2" s="645"/>
      <c r="C2" s="646" t="s">
        <v>1741</v>
      </c>
      <c r="D2" s="647"/>
      <c r="E2" s="645"/>
      <c r="F2" s="648"/>
      <c r="G2" s="649"/>
      <c r="H2" s="649"/>
      <c r="I2" s="653"/>
      <c r="J2" s="654"/>
      <c r="K2" s="651"/>
    </row>
    <row r="3" spans="1:15" ht="23.25" customHeight="1" x14ac:dyDescent="0.35">
      <c r="A3" s="644" t="str">
        <f>ปร.5!B7</f>
        <v xml:space="preserve">สถานที่ก่อสร้าง บ้านปากน้ำ หมู่ที่ ๑3 ตำบลทุ่งหลวง อำเภอเวียงสระ จังหวัดสุราษฎร์ธานี </v>
      </c>
      <c r="B3" s="645"/>
      <c r="C3" s="655"/>
      <c r="D3" s="656"/>
      <c r="E3" s="656"/>
      <c r="F3" s="645"/>
      <c r="G3" s="645"/>
      <c r="H3" s="645"/>
      <c r="I3" s="657"/>
      <c r="J3" s="658"/>
      <c r="K3" s="661"/>
    </row>
    <row r="4" spans="1:15" ht="23.25" customHeight="1" x14ac:dyDescent="0.35">
      <c r="A4" s="644" t="str">
        <f>ปร.5!B9</f>
        <v>เจ้าของโครงการ เทศบาลตำบลทุ่งหลวง</v>
      </c>
      <c r="B4" s="645"/>
      <c r="C4" s="660"/>
      <c r="D4" s="656"/>
      <c r="E4" s="645"/>
      <c r="F4" s="657"/>
      <c r="G4" s="661"/>
      <c r="H4" s="661"/>
      <c r="I4" s="657"/>
      <c r="J4" s="659"/>
      <c r="K4" s="662"/>
    </row>
    <row r="5" spans="1:15" ht="23.25" customHeight="1" x14ac:dyDescent="0.35">
      <c r="A5" s="644">
        <f>ปร.5!B10</f>
        <v>0</v>
      </c>
      <c r="B5" s="645"/>
      <c r="C5" s="655"/>
      <c r="D5" s="655"/>
      <c r="E5" s="655"/>
      <c r="F5" s="656"/>
      <c r="G5" s="645"/>
      <c r="H5" s="657" t="str">
        <f>ปร.5!J10</f>
        <v>เมื่อวันที่  1 ธันวาคม  2568</v>
      </c>
      <c r="I5" s="663"/>
      <c r="J5" s="650"/>
      <c r="K5" s="651"/>
    </row>
    <row r="6" spans="1:15" ht="23.25" customHeight="1" x14ac:dyDescent="0.35">
      <c r="A6" s="664"/>
      <c r="B6" s="665"/>
      <c r="C6" s="665"/>
      <c r="D6" s="666"/>
      <c r="E6" s="665"/>
      <c r="F6" s="667"/>
      <c r="G6" s="668"/>
      <c r="H6" s="668"/>
      <c r="I6" s="667"/>
      <c r="J6" s="669"/>
      <c r="K6" s="670" t="s">
        <v>808</v>
      </c>
    </row>
    <row r="7" spans="1:15" ht="21.75" customHeight="1" x14ac:dyDescent="0.35">
      <c r="A7" s="671" t="s">
        <v>985</v>
      </c>
      <c r="B7" s="672" t="s">
        <v>125</v>
      </c>
      <c r="C7" s="673"/>
      <c r="D7" s="674" t="s">
        <v>400</v>
      </c>
      <c r="E7" s="675"/>
      <c r="F7" s="676" t="s">
        <v>401</v>
      </c>
      <c r="G7" s="677"/>
      <c r="H7" s="676" t="s">
        <v>491</v>
      </c>
      <c r="I7" s="678"/>
      <c r="J7" s="679" t="s">
        <v>403</v>
      </c>
      <c r="K7" s="671" t="s">
        <v>761</v>
      </c>
    </row>
    <row r="8" spans="1:15" ht="21.75" customHeight="1" x14ac:dyDescent="0.35">
      <c r="A8" s="680" t="s">
        <v>984</v>
      </c>
      <c r="B8" s="681"/>
      <c r="C8" s="682"/>
      <c r="D8" s="683"/>
      <c r="E8" s="684"/>
      <c r="F8" s="685" t="s">
        <v>404</v>
      </c>
      <c r="G8" s="686" t="s">
        <v>381</v>
      </c>
      <c r="H8" s="685" t="s">
        <v>404</v>
      </c>
      <c r="I8" s="687" t="s">
        <v>381</v>
      </c>
      <c r="J8" s="680" t="s">
        <v>491</v>
      </c>
      <c r="K8" s="688"/>
    </row>
    <row r="9" spans="1:15" ht="21.75" customHeight="1" x14ac:dyDescent="0.35">
      <c r="A9" s="1238"/>
      <c r="B9" s="1279" t="s">
        <v>312</v>
      </c>
      <c r="C9" s="1280"/>
      <c r="D9" s="1281"/>
      <c r="E9" s="1282"/>
      <c r="F9" s="1424"/>
      <c r="G9" s="1328"/>
      <c r="H9" s="1328"/>
      <c r="I9" s="1328"/>
      <c r="J9" s="1425"/>
      <c r="K9" s="1280"/>
    </row>
    <row r="10" spans="1:15" ht="21.75" customHeight="1" x14ac:dyDescent="0.35">
      <c r="A10" s="1286">
        <v>1</v>
      </c>
      <c r="B10" s="1287" t="s">
        <v>429</v>
      </c>
      <c r="C10" s="1288"/>
      <c r="D10" s="1289"/>
      <c r="E10" s="1290"/>
      <c r="F10" s="1296"/>
      <c r="G10" s="1297"/>
      <c r="H10" s="1297"/>
      <c r="I10" s="1297"/>
      <c r="J10" s="1284"/>
      <c r="K10" s="1288"/>
    </row>
    <row r="11" spans="1:15" ht="21.75" customHeight="1" x14ac:dyDescent="0.35">
      <c r="A11" s="1286"/>
      <c r="B11" s="1292" t="s">
        <v>1727</v>
      </c>
      <c r="C11" s="1288"/>
      <c r="D11" s="1289"/>
      <c r="E11" s="1290" t="s">
        <v>747</v>
      </c>
      <c r="F11" s="1296">
        <v>0</v>
      </c>
      <c r="G11" s="1297">
        <f>D11*F11</f>
        <v>0</v>
      </c>
      <c r="H11" s="1297">
        <v>0</v>
      </c>
      <c r="I11" s="1297">
        <f>D11*H11</f>
        <v>0</v>
      </c>
      <c r="J11" s="1284">
        <f t="shared" ref="J11:J18" si="0">SUM(G11,I11)</f>
        <v>0</v>
      </c>
      <c r="K11" s="1288"/>
      <c r="O11" s="652" t="s">
        <v>436</v>
      </c>
    </row>
    <row r="12" spans="1:15" ht="21.75" customHeight="1" x14ac:dyDescent="0.35">
      <c r="A12" s="1286"/>
      <c r="B12" s="1292" t="s">
        <v>1728</v>
      </c>
      <c r="C12" s="1288"/>
      <c r="D12" s="1289"/>
      <c r="E12" s="1290"/>
      <c r="F12" s="1296"/>
      <c r="G12" s="1297"/>
      <c r="H12" s="1297"/>
      <c r="I12" s="1297"/>
      <c r="J12" s="1284"/>
      <c r="K12" s="1284"/>
    </row>
    <row r="13" spans="1:15" ht="21.75" customHeight="1" x14ac:dyDescent="0.35">
      <c r="A13" s="1286"/>
      <c r="B13" s="1292" t="s">
        <v>1729</v>
      </c>
      <c r="C13" s="1288"/>
      <c r="D13" s="1289"/>
      <c r="E13" s="1290"/>
      <c r="F13" s="1296"/>
      <c r="G13" s="1297"/>
      <c r="H13" s="1297"/>
      <c r="I13" s="1297"/>
      <c r="J13" s="1284"/>
      <c r="K13" s="1288"/>
    </row>
    <row r="14" spans="1:15" ht="21.75" customHeight="1" x14ac:dyDescent="0.35">
      <c r="A14" s="1286">
        <v>2</v>
      </c>
      <c r="B14" s="1292" t="s">
        <v>313</v>
      </c>
      <c r="C14" s="1288"/>
      <c r="D14" s="1289"/>
      <c r="E14" s="1290"/>
      <c r="F14" s="1296"/>
      <c r="G14" s="1297"/>
      <c r="H14" s="1297"/>
      <c r="I14" s="1297"/>
      <c r="J14" s="1284"/>
      <c r="K14" s="1288"/>
      <c r="O14" s="652" t="s">
        <v>435</v>
      </c>
    </row>
    <row r="15" spans="1:15" ht="21.75" customHeight="1" x14ac:dyDescent="0.35">
      <c r="A15" s="1286"/>
      <c r="B15" s="1292" t="s">
        <v>811</v>
      </c>
      <c r="C15" s="1288"/>
      <c r="D15" s="1289">
        <v>0</v>
      </c>
      <c r="E15" s="1290" t="s">
        <v>417</v>
      </c>
      <c r="F15" s="1296">
        <v>3500</v>
      </c>
      <c r="G15" s="1297">
        <f t="shared" ref="G15:G18" si="1">D15*F15</f>
        <v>0</v>
      </c>
      <c r="H15" s="1297">
        <v>1000</v>
      </c>
      <c r="I15" s="1297">
        <f t="shared" ref="I15:I18" si="2">D15*H15</f>
        <v>0</v>
      </c>
      <c r="J15" s="1284">
        <f t="shared" si="0"/>
        <v>0</v>
      </c>
      <c r="K15" s="1284"/>
    </row>
    <row r="16" spans="1:15" ht="21.75" customHeight="1" x14ac:dyDescent="0.35">
      <c r="A16" s="1286"/>
      <c r="B16" s="1292" t="s">
        <v>812</v>
      </c>
      <c r="C16" s="1288"/>
      <c r="D16" s="1289">
        <v>0</v>
      </c>
      <c r="E16" s="1290" t="s">
        <v>633</v>
      </c>
      <c r="F16" s="1296">
        <v>500</v>
      </c>
      <c r="G16" s="1297">
        <f>D16*F16</f>
        <v>0</v>
      </c>
      <c r="H16" s="1297">
        <v>1000</v>
      </c>
      <c r="I16" s="1297">
        <f>D16*H16</f>
        <v>0</v>
      </c>
      <c r="J16" s="1284">
        <f>SUM(G16,I16)</f>
        <v>0</v>
      </c>
      <c r="K16" s="1284"/>
    </row>
    <row r="17" spans="1:14" ht="21.75" customHeight="1" x14ac:dyDescent="0.35">
      <c r="A17" s="1286"/>
      <c r="B17" s="1292" t="s">
        <v>810</v>
      </c>
      <c r="C17" s="1288"/>
      <c r="D17" s="1289">
        <v>0</v>
      </c>
      <c r="E17" s="1290" t="s">
        <v>553</v>
      </c>
      <c r="F17" s="1296"/>
      <c r="G17" s="1297">
        <f t="shared" si="1"/>
        <v>0</v>
      </c>
      <c r="H17" s="1297">
        <v>120000</v>
      </c>
      <c r="I17" s="1297">
        <f t="shared" si="2"/>
        <v>0</v>
      </c>
      <c r="J17" s="1284">
        <f t="shared" si="0"/>
        <v>0</v>
      </c>
      <c r="K17" s="1297"/>
    </row>
    <row r="18" spans="1:14" ht="21.75" customHeight="1" x14ac:dyDescent="0.35">
      <c r="A18" s="1286">
        <v>3</v>
      </c>
      <c r="B18" s="1287" t="s">
        <v>314</v>
      </c>
      <c r="C18" s="1288"/>
      <c r="D18" s="1289">
        <v>1</v>
      </c>
      <c r="E18" s="1290" t="s">
        <v>125</v>
      </c>
      <c r="F18" s="1296">
        <v>750</v>
      </c>
      <c r="G18" s="1297">
        <f t="shared" si="1"/>
        <v>750</v>
      </c>
      <c r="H18" s="1297">
        <v>0</v>
      </c>
      <c r="I18" s="1297">
        <f t="shared" si="2"/>
        <v>0</v>
      </c>
      <c r="J18" s="1284">
        <f t="shared" si="0"/>
        <v>750</v>
      </c>
      <c r="K18" s="1284"/>
    </row>
    <row r="19" spans="1:14" ht="21.75" customHeight="1" x14ac:dyDescent="0.35">
      <c r="A19" s="1286"/>
      <c r="B19" s="1287" t="s">
        <v>315</v>
      </c>
      <c r="C19" s="1288"/>
      <c r="D19" s="1289"/>
      <c r="E19" s="1290"/>
      <c r="F19" s="1296"/>
      <c r="G19" s="1297"/>
      <c r="H19" s="1297"/>
      <c r="I19" s="1297"/>
      <c r="J19" s="1284"/>
      <c r="K19" s="1288"/>
    </row>
    <row r="20" spans="1:14" ht="21.75" customHeight="1" x14ac:dyDescent="0.35">
      <c r="A20" s="1286"/>
      <c r="B20" s="1292" t="s">
        <v>316</v>
      </c>
      <c r="C20" s="1288"/>
      <c r="D20" s="1289"/>
      <c r="E20" s="1290"/>
      <c r="F20" s="1296"/>
      <c r="G20" s="1297"/>
      <c r="H20" s="1297"/>
      <c r="I20" s="1297"/>
      <c r="J20" s="1284"/>
      <c r="K20" s="1288"/>
    </row>
    <row r="21" spans="1:14" ht="21.75" customHeight="1" x14ac:dyDescent="0.35">
      <c r="A21" s="1286"/>
      <c r="B21" s="1292"/>
      <c r="C21" s="1288"/>
      <c r="D21" s="1289"/>
      <c r="E21" s="1290"/>
      <c r="F21" s="1296"/>
      <c r="G21" s="1297"/>
      <c r="H21" s="1297"/>
      <c r="I21" s="1297"/>
      <c r="J21" s="1284"/>
      <c r="K21" s="1288"/>
    </row>
    <row r="22" spans="1:14" ht="21.75" customHeight="1" x14ac:dyDescent="0.35">
      <c r="A22" s="1286"/>
      <c r="B22" s="1292"/>
      <c r="C22" s="1288"/>
      <c r="D22" s="1289"/>
      <c r="E22" s="1290"/>
      <c r="F22" s="1296"/>
      <c r="G22" s="1297"/>
      <c r="H22" s="1297"/>
      <c r="I22" s="1297"/>
      <c r="J22" s="1284"/>
      <c r="K22" s="1284"/>
      <c r="N22" s="1294">
        <f>SUM(J11:J19)</f>
        <v>750</v>
      </c>
    </row>
    <row r="23" spans="1:14" ht="21.75" customHeight="1" x14ac:dyDescent="0.35">
      <c r="A23" s="1286"/>
      <c r="B23" s="1287"/>
      <c r="C23" s="1391" t="s">
        <v>317</v>
      </c>
      <c r="D23" s="1289"/>
      <c r="E23" s="1290"/>
      <c r="F23" s="1296"/>
      <c r="G23" s="1297">
        <f>SUM(G10:G20)</f>
        <v>750</v>
      </c>
      <c r="H23" s="1297"/>
      <c r="I23" s="1297">
        <f>SUM(I11:I20)</f>
        <v>0</v>
      </c>
      <c r="J23" s="1426">
        <f>SUM(G23,I23)</f>
        <v>750</v>
      </c>
      <c r="K23" s="1297"/>
    </row>
    <row r="24" spans="1:14" ht="21.75" customHeight="1" x14ac:dyDescent="0.35">
      <c r="A24" s="1417"/>
      <c r="B24" s="1427"/>
      <c r="C24" s="1428" t="s">
        <v>318</v>
      </c>
      <c r="D24" s="1429"/>
      <c r="E24" s="1421"/>
      <c r="F24" s="1430"/>
      <c r="G24" s="1341"/>
      <c r="H24" s="1431"/>
      <c r="I24" s="1341"/>
      <c r="J24" s="1432">
        <f>ROUNDDOWN(J23,0)</f>
        <v>750</v>
      </c>
      <c r="K24" s="688"/>
    </row>
    <row r="25" spans="1:14" ht="21.75" customHeight="1" x14ac:dyDescent="0.35">
      <c r="A25" s="1433"/>
      <c r="B25" s="1411"/>
      <c r="C25" s="1409"/>
      <c r="D25" s="1412"/>
      <c r="E25" s="1434"/>
      <c r="F25" s="1435"/>
      <c r="G25" s="1436"/>
      <c r="H25" s="1426"/>
      <c r="I25" s="1436"/>
      <c r="J25" s="1426"/>
      <c r="K25" s="1437"/>
    </row>
    <row r="26" spans="1:14" x14ac:dyDescent="0.35">
      <c r="K26" s="1437"/>
    </row>
  </sheetData>
  <pageMargins left="0.25" right="0.25" top="0.75" bottom="0.75" header="0.3" footer="0.3"/>
  <pageSetup paperSize="9" orientation="portrait" r:id="rId1"/>
  <headerFooter alignWithMargins="0">
    <oddHeader xml:space="preserve">&amp;Rแบบ ปร.4 แผ่นที่ &amp;P/1 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topLeftCell="A16" workbookViewId="0">
      <selection activeCell="I13" sqref="I13"/>
    </sheetView>
  </sheetViews>
  <sheetFormatPr defaultColWidth="9.125" defaultRowHeight="18" x14ac:dyDescent="0.35"/>
  <cols>
    <col min="1" max="1" width="5.75" style="1067" customWidth="1"/>
    <col min="2" max="2" width="9.125" style="1067"/>
    <col min="3" max="6" width="9.75" style="1067" customWidth="1"/>
    <col min="7" max="7" width="11.75" style="1067" customWidth="1"/>
    <col min="8" max="8" width="12.75" style="1067" customWidth="1"/>
    <col min="9" max="9" width="5.75" style="1067" customWidth="1"/>
    <col min="10" max="10" width="10.875" style="1067" customWidth="1"/>
    <col min="11" max="11" width="12.125" style="1067" customWidth="1"/>
    <col min="12" max="12" width="10.625" style="1067" customWidth="1"/>
    <col min="13" max="16384" width="9.125" style="1067"/>
  </cols>
  <sheetData>
    <row r="1" spans="1:12" x14ac:dyDescent="0.35">
      <c r="A1" s="1066" t="s">
        <v>680</v>
      </c>
      <c r="B1" s="1066"/>
      <c r="C1" s="1066"/>
      <c r="D1" s="1066"/>
      <c r="E1" s="1066"/>
      <c r="F1" s="1066"/>
      <c r="G1" s="1066"/>
      <c r="H1" s="1066"/>
      <c r="I1" s="1066"/>
      <c r="J1" s="1066"/>
    </row>
    <row r="2" spans="1:12" ht="30.6" x14ac:dyDescent="0.35">
      <c r="A2" s="1068" t="s">
        <v>648</v>
      </c>
      <c r="B2" s="1068"/>
      <c r="C2" s="1068"/>
      <c r="D2" s="1068"/>
      <c r="E2" s="1068"/>
      <c r="F2" s="1068"/>
      <c r="G2" s="1068"/>
      <c r="H2" s="1068"/>
      <c r="I2" s="1068"/>
      <c r="J2" s="1068"/>
    </row>
    <row r="3" spans="1:12" ht="17.25" customHeight="1" x14ac:dyDescent="0.35">
      <c r="J3" s="1069"/>
    </row>
    <row r="4" spans="1:12" x14ac:dyDescent="0.35">
      <c r="A4" s="1070"/>
      <c r="B4" s="1070" t="s">
        <v>649</v>
      </c>
      <c r="C4" s="1070"/>
      <c r="D4" s="1070">
        <v>0</v>
      </c>
      <c r="E4" s="1071" t="s">
        <v>650</v>
      </c>
      <c r="F4" s="1070" t="s">
        <v>651</v>
      </c>
      <c r="G4" s="1072"/>
      <c r="H4" s="1070"/>
      <c r="I4" s="1070">
        <v>6</v>
      </c>
      <c r="J4" s="1071" t="s">
        <v>652</v>
      </c>
    </row>
    <row r="5" spans="1:12" x14ac:dyDescent="0.35">
      <c r="A5" s="1070"/>
      <c r="B5" s="1070" t="s">
        <v>653</v>
      </c>
      <c r="C5" s="1070"/>
      <c r="D5" s="1070">
        <v>0</v>
      </c>
      <c r="E5" s="1071" t="s">
        <v>650</v>
      </c>
      <c r="F5" s="1073" t="s">
        <v>654</v>
      </c>
      <c r="G5" s="1070"/>
      <c r="H5" s="1070"/>
      <c r="I5" s="1070">
        <v>7</v>
      </c>
      <c r="J5" s="1074" t="s">
        <v>650</v>
      </c>
    </row>
    <row r="6" spans="1:12" ht="17.25" customHeight="1" x14ac:dyDescent="0.35">
      <c r="A6" s="1070"/>
      <c r="B6" s="1070"/>
      <c r="C6" s="1070"/>
      <c r="D6" s="1070"/>
      <c r="E6" s="1070"/>
      <c r="F6" s="1070"/>
      <c r="G6" s="1070"/>
      <c r="H6" s="1070"/>
      <c r="I6" s="1070"/>
      <c r="J6" s="1070"/>
    </row>
    <row r="7" spans="1:12" ht="18" customHeight="1" x14ac:dyDescent="0.35">
      <c r="A7" s="1075"/>
      <c r="B7" s="1076"/>
      <c r="C7" s="1075" t="s">
        <v>655</v>
      </c>
      <c r="D7" s="1077"/>
      <c r="E7" s="1077"/>
      <c r="F7" s="1076"/>
      <c r="G7" s="1078"/>
      <c r="H7" s="1078"/>
      <c r="I7" s="1079" t="s">
        <v>656</v>
      </c>
      <c r="J7" s="1080"/>
    </row>
    <row r="8" spans="1:12" ht="18.75" customHeight="1" x14ac:dyDescent="0.35">
      <c r="A8" s="1081" t="s">
        <v>657</v>
      </c>
      <c r="B8" s="1082"/>
      <c r="C8" s="1083" t="s">
        <v>650</v>
      </c>
      <c r="D8" s="1084"/>
      <c r="E8" s="1084"/>
      <c r="F8" s="1085"/>
      <c r="G8" s="1086" t="s">
        <v>658</v>
      </c>
      <c r="H8" s="1086" t="s">
        <v>659</v>
      </c>
      <c r="I8" s="1087"/>
      <c r="J8" s="1088"/>
    </row>
    <row r="9" spans="1:12" ht="18" customHeight="1" x14ac:dyDescent="0.35">
      <c r="A9" s="1081" t="s">
        <v>660</v>
      </c>
      <c r="B9" s="1082"/>
      <c r="C9" s="1089" t="s">
        <v>259</v>
      </c>
      <c r="D9" s="1089" t="s">
        <v>259</v>
      </c>
      <c r="E9" s="1089" t="s">
        <v>259</v>
      </c>
      <c r="F9" s="1089" t="s">
        <v>260</v>
      </c>
      <c r="G9" s="1086" t="s">
        <v>261</v>
      </c>
      <c r="H9" s="1086" t="s">
        <v>262</v>
      </c>
      <c r="I9" s="1087"/>
      <c r="J9" s="1088"/>
    </row>
    <row r="10" spans="1:12" ht="15" customHeight="1" x14ac:dyDescent="0.35">
      <c r="A10" s="1090"/>
      <c r="B10" s="1091"/>
      <c r="C10" s="1092" t="s">
        <v>263</v>
      </c>
      <c r="D10" s="1092" t="s">
        <v>264</v>
      </c>
      <c r="E10" s="1092" t="s">
        <v>265</v>
      </c>
      <c r="F10" s="1086" t="s">
        <v>266</v>
      </c>
      <c r="G10" s="1086"/>
      <c r="H10" s="1093"/>
      <c r="I10" s="1094"/>
      <c r="J10" s="1095"/>
    </row>
    <row r="11" spans="1:12" ht="20.25" customHeight="1" x14ac:dyDescent="0.35">
      <c r="A11" s="1155" t="s">
        <v>267</v>
      </c>
      <c r="B11" s="1156">
        <v>0.5</v>
      </c>
      <c r="C11" s="1157">
        <v>15.687799999999999</v>
      </c>
      <c r="D11" s="1157">
        <f>'[4]ดอกเบี้ย,กำไร'!G12</f>
        <v>1</v>
      </c>
      <c r="E11" s="1157">
        <f>'[4]ดอกเบี้ย,กำไร'!G48</f>
        <v>5.5</v>
      </c>
      <c r="F11" s="1158">
        <f t="shared" ref="F11:F34" si="0">(C11+D11+E11)</f>
        <v>22.187799999999999</v>
      </c>
      <c r="G11" s="1159">
        <f t="shared" ref="G11:G34" si="1">1+(F11/100)</f>
        <v>1.221878</v>
      </c>
      <c r="H11" s="1159">
        <f t="shared" ref="H11:H34" si="2">1+($I$5/100)</f>
        <v>1.07</v>
      </c>
      <c r="I11" s="1160">
        <f>ROUND((G11*H11),4)</f>
        <v>1.3073999999999999</v>
      </c>
      <c r="J11" s="1161"/>
    </row>
    <row r="12" spans="1:12" ht="21.75" customHeight="1" x14ac:dyDescent="0.35">
      <c r="A12" s="1162"/>
      <c r="B12" s="1163">
        <v>1</v>
      </c>
      <c r="C12" s="1157">
        <v>15.4672</v>
      </c>
      <c r="D12" s="1157">
        <f>'[4]ดอกเบี้ย,กำไร'!G13</f>
        <v>1</v>
      </c>
      <c r="E12" s="1157">
        <f>'[4]ดอกเบี้ย,กำไร'!G49</f>
        <v>5.5</v>
      </c>
      <c r="F12" s="1157">
        <f t="shared" si="0"/>
        <v>21.967199999999998</v>
      </c>
      <c r="G12" s="1164">
        <f t="shared" si="1"/>
        <v>1.2196720000000001</v>
      </c>
      <c r="H12" s="1164">
        <f t="shared" si="2"/>
        <v>1.07</v>
      </c>
      <c r="I12" s="1165">
        <f t="shared" ref="I12:I34" si="3">ROUND((G12*H12),4)</f>
        <v>1.3049999999999999</v>
      </c>
      <c r="J12" s="1166"/>
      <c r="K12" s="1096">
        <f>ปร.5!J29+'ปร.5 (2)'!J22</f>
        <v>697625.97597000015</v>
      </c>
      <c r="L12" s="1097">
        <f>I12-I13</f>
        <v>1.4999999999998348E-3</v>
      </c>
    </row>
    <row r="13" spans="1:12" ht="21.75" customHeight="1" x14ac:dyDescent="0.35">
      <c r="A13" s="1162"/>
      <c r="B13" s="1163">
        <v>2</v>
      </c>
      <c r="C13" s="1157">
        <v>15.323600000000001</v>
      </c>
      <c r="D13" s="1157">
        <f>'[4]ดอกเบี้ย,กำไร'!G14</f>
        <v>1</v>
      </c>
      <c r="E13" s="1157">
        <f>'[4]ดอกเบี้ย,กำไร'!G50</f>
        <v>5.5</v>
      </c>
      <c r="F13" s="1157">
        <f t="shared" si="0"/>
        <v>21.823599999999999</v>
      </c>
      <c r="G13" s="1164">
        <f t="shared" si="1"/>
        <v>1.2182360000000001</v>
      </c>
      <c r="H13" s="1164">
        <f t="shared" si="2"/>
        <v>1.07</v>
      </c>
      <c r="I13" s="1165">
        <f t="shared" si="3"/>
        <v>1.3035000000000001</v>
      </c>
      <c r="J13" s="1166"/>
      <c r="K13" s="1096">
        <f>K12-1000000</f>
        <v>-302374.02402999985</v>
      </c>
      <c r="L13" s="1098">
        <f>K13*L12/1000000</f>
        <v>-4.5356103604494985E-4</v>
      </c>
    </row>
    <row r="14" spans="1:12" ht="20.25" customHeight="1" x14ac:dyDescent="0.35">
      <c r="A14" s="1162"/>
      <c r="B14" s="1163">
        <v>5</v>
      </c>
      <c r="C14" s="1157">
        <v>15.025700000000001</v>
      </c>
      <c r="D14" s="1157">
        <f>'[4]ดอกเบี้ย,กำไร'!G15</f>
        <v>1</v>
      </c>
      <c r="E14" s="1157">
        <f>'[4]ดอกเบี้ย,กำไร'!G51</f>
        <v>5.5</v>
      </c>
      <c r="F14" s="1157">
        <f t="shared" si="0"/>
        <v>21.525700000000001</v>
      </c>
      <c r="G14" s="1164">
        <f t="shared" si="1"/>
        <v>1.215257</v>
      </c>
      <c r="H14" s="1164">
        <f t="shared" si="2"/>
        <v>1.07</v>
      </c>
      <c r="I14" s="1165">
        <f t="shared" si="3"/>
        <v>1.3003</v>
      </c>
      <c r="J14" s="1166"/>
      <c r="K14" s="1098"/>
      <c r="L14" s="1097">
        <f>I12-L13</f>
        <v>1.3054535610360449</v>
      </c>
    </row>
    <row r="15" spans="1:12" ht="19.5" customHeight="1" x14ac:dyDescent="0.35">
      <c r="A15" s="1162"/>
      <c r="B15" s="1163">
        <v>10</v>
      </c>
      <c r="C15" s="1157">
        <v>14.966900000000001</v>
      </c>
      <c r="D15" s="1157">
        <f>'[4]ดอกเบี้ย,กำไร'!G16</f>
        <v>1</v>
      </c>
      <c r="E15" s="1157">
        <f>'[4]ดอกเบี้ย,กำไร'!G52</f>
        <v>5</v>
      </c>
      <c r="F15" s="1157">
        <f t="shared" si="0"/>
        <v>20.966900000000003</v>
      </c>
      <c r="G15" s="1164">
        <f t="shared" si="1"/>
        <v>1.2096690000000001</v>
      </c>
      <c r="H15" s="1164">
        <f t="shared" si="2"/>
        <v>1.07</v>
      </c>
      <c r="I15" s="1165">
        <f t="shared" si="3"/>
        <v>1.2943</v>
      </c>
      <c r="J15" s="1166"/>
    </row>
    <row r="16" spans="1:12" ht="20.25" customHeight="1" x14ac:dyDescent="0.35">
      <c r="A16" s="1162"/>
      <c r="B16" s="1163">
        <v>15</v>
      </c>
      <c r="C16" s="1157">
        <v>11.701499999999999</v>
      </c>
      <c r="D16" s="1157">
        <f>'[4]ดอกเบี้ย,กำไร'!G17</f>
        <v>1</v>
      </c>
      <c r="E16" s="1157">
        <f>'[4]ดอกเบี้ย,กำไร'!G53</f>
        <v>5</v>
      </c>
      <c r="F16" s="1157">
        <f t="shared" si="0"/>
        <v>17.701499999999999</v>
      </c>
      <c r="G16" s="1164">
        <f t="shared" si="1"/>
        <v>1.1770149999999999</v>
      </c>
      <c r="H16" s="1164">
        <f t="shared" si="2"/>
        <v>1.07</v>
      </c>
      <c r="I16" s="1165">
        <f t="shared" si="3"/>
        <v>1.2594000000000001</v>
      </c>
      <c r="J16" s="1166"/>
    </row>
    <row r="17" spans="1:10" ht="17.25" customHeight="1" x14ac:dyDescent="0.35">
      <c r="A17" s="1162"/>
      <c r="B17" s="1163">
        <v>20</v>
      </c>
      <c r="C17" s="1157">
        <v>10.99</v>
      </c>
      <c r="D17" s="1157">
        <f>'[4]ดอกเบี้ย,กำไร'!G18</f>
        <v>1</v>
      </c>
      <c r="E17" s="1157">
        <f>'[4]ดอกเบี้ย,กำไร'!G54</f>
        <v>5</v>
      </c>
      <c r="F17" s="1157">
        <f t="shared" si="0"/>
        <v>16.990000000000002</v>
      </c>
      <c r="G17" s="1164">
        <f t="shared" si="1"/>
        <v>1.1698999999999999</v>
      </c>
      <c r="H17" s="1164">
        <f t="shared" si="2"/>
        <v>1.07</v>
      </c>
      <c r="I17" s="1165">
        <f t="shared" si="3"/>
        <v>1.2518</v>
      </c>
      <c r="J17" s="1166"/>
    </row>
    <row r="18" spans="1:10" ht="18.75" customHeight="1" x14ac:dyDescent="0.35">
      <c r="A18" s="1162"/>
      <c r="B18" s="1163">
        <v>25</v>
      </c>
      <c r="C18" s="1157">
        <v>8.9690999999999992</v>
      </c>
      <c r="D18" s="1157">
        <f>'[4]ดอกเบี้ย,กำไร'!G19</f>
        <v>1</v>
      </c>
      <c r="E18" s="1157">
        <f>'[4]ดอกเบี้ย,กำไร'!G55</f>
        <v>4.5</v>
      </c>
      <c r="F18" s="1157">
        <f t="shared" si="0"/>
        <v>14.469099999999999</v>
      </c>
      <c r="G18" s="1164">
        <f t="shared" si="1"/>
        <v>1.1446909999999999</v>
      </c>
      <c r="H18" s="1164">
        <f t="shared" si="2"/>
        <v>1.07</v>
      </c>
      <c r="I18" s="1165">
        <f t="shared" si="3"/>
        <v>1.2248000000000001</v>
      </c>
      <c r="J18" s="1166"/>
    </row>
    <row r="19" spans="1:10" ht="20.25" customHeight="1" x14ac:dyDescent="0.35">
      <c r="A19" s="1162"/>
      <c r="B19" s="1163">
        <v>30</v>
      </c>
      <c r="C19" s="1157">
        <v>8.1867000000000001</v>
      </c>
      <c r="D19" s="1157">
        <f>'[4]ดอกเบี้ย,กำไร'!G20</f>
        <v>1</v>
      </c>
      <c r="E19" s="1157">
        <f>'[4]ดอกเบี้ย,กำไร'!G56</f>
        <v>4.5</v>
      </c>
      <c r="F19" s="1157">
        <f t="shared" si="0"/>
        <v>13.6867</v>
      </c>
      <c r="G19" s="1164">
        <f t="shared" si="1"/>
        <v>1.1368670000000001</v>
      </c>
      <c r="H19" s="1164">
        <f t="shared" si="2"/>
        <v>1.07</v>
      </c>
      <c r="I19" s="1165">
        <f t="shared" si="3"/>
        <v>1.2163999999999999</v>
      </c>
      <c r="J19" s="1166"/>
    </row>
    <row r="20" spans="1:10" ht="18.75" customHeight="1" x14ac:dyDescent="0.35">
      <c r="A20" s="1162"/>
      <c r="B20" s="1163">
        <f t="shared" ref="B20:B26" si="4">B19+10</f>
        <v>40</v>
      </c>
      <c r="C20" s="1157">
        <v>8.1501999999999999</v>
      </c>
      <c r="D20" s="1157">
        <f>'[4]ดอกเบี้ย,กำไร'!G21</f>
        <v>1</v>
      </c>
      <c r="E20" s="1157">
        <f>'[4]ดอกเบี้ย,กำไร'!G57</f>
        <v>4.5</v>
      </c>
      <c r="F20" s="1157">
        <f t="shared" si="0"/>
        <v>13.6502</v>
      </c>
      <c r="G20" s="1164">
        <f t="shared" si="1"/>
        <v>1.1365020000000001</v>
      </c>
      <c r="H20" s="1164">
        <f t="shared" si="2"/>
        <v>1.07</v>
      </c>
      <c r="I20" s="1165">
        <f t="shared" si="3"/>
        <v>1.2161</v>
      </c>
      <c r="J20" s="1166"/>
    </row>
    <row r="21" spans="1:10" ht="19.5" customHeight="1" x14ac:dyDescent="0.35">
      <c r="A21" s="1162"/>
      <c r="B21" s="1163">
        <f t="shared" si="4"/>
        <v>50</v>
      </c>
      <c r="C21" s="1157">
        <v>8.1388999999999996</v>
      </c>
      <c r="D21" s="1157">
        <f>'[4]ดอกเบี้ย,กำไร'!G22</f>
        <v>1</v>
      </c>
      <c r="E21" s="1157">
        <f>'[4]ดอกเบี้ย,กำไร'!G58</f>
        <v>4.5</v>
      </c>
      <c r="F21" s="1157">
        <f t="shared" si="0"/>
        <v>13.6389</v>
      </c>
      <c r="G21" s="1164">
        <f t="shared" si="1"/>
        <v>1.1363889999999999</v>
      </c>
      <c r="H21" s="1164">
        <f t="shared" si="2"/>
        <v>1.07</v>
      </c>
      <c r="I21" s="1165">
        <f t="shared" si="3"/>
        <v>1.2159</v>
      </c>
      <c r="J21" s="1166"/>
    </row>
    <row r="22" spans="1:10" ht="19.5" customHeight="1" x14ac:dyDescent="0.35">
      <c r="A22" s="1162"/>
      <c r="B22" s="1163">
        <f t="shared" si="4"/>
        <v>60</v>
      </c>
      <c r="C22" s="1157">
        <v>7.7222</v>
      </c>
      <c r="D22" s="1157">
        <f>'[4]ดอกเบี้ย,กำไร'!G23</f>
        <v>1</v>
      </c>
      <c r="E22" s="1157">
        <f>'[4]ดอกเบี้ย,กำไร'!G59</f>
        <v>4</v>
      </c>
      <c r="F22" s="1157">
        <f t="shared" si="0"/>
        <v>12.722200000000001</v>
      </c>
      <c r="G22" s="1164">
        <f t="shared" si="1"/>
        <v>1.1272219999999999</v>
      </c>
      <c r="H22" s="1164">
        <f t="shared" si="2"/>
        <v>1.07</v>
      </c>
      <c r="I22" s="1165">
        <f t="shared" si="3"/>
        <v>1.2060999999999999</v>
      </c>
      <c r="J22" s="1166"/>
    </row>
    <row r="23" spans="1:10" ht="20.25" customHeight="1" x14ac:dyDescent="0.35">
      <c r="A23" s="1162"/>
      <c r="B23" s="1163">
        <f t="shared" si="4"/>
        <v>70</v>
      </c>
      <c r="C23" s="1157">
        <v>7.6191000000000004</v>
      </c>
      <c r="D23" s="1157">
        <f>'[4]ดอกเบี้ย,กำไร'!G24</f>
        <v>1</v>
      </c>
      <c r="E23" s="1157">
        <f>'[4]ดอกเบี้ย,กำไร'!G60</f>
        <v>4</v>
      </c>
      <c r="F23" s="1157">
        <f t="shared" si="0"/>
        <v>12.6191</v>
      </c>
      <c r="G23" s="1164">
        <f t="shared" si="1"/>
        <v>1.1261909999999999</v>
      </c>
      <c r="H23" s="1164">
        <f t="shared" si="2"/>
        <v>1.07</v>
      </c>
      <c r="I23" s="1165">
        <f t="shared" si="3"/>
        <v>1.2050000000000001</v>
      </c>
      <c r="J23" s="1166"/>
    </row>
    <row r="24" spans="1:10" ht="19.5" customHeight="1" x14ac:dyDescent="0.35">
      <c r="A24" s="1162"/>
      <c r="B24" s="1163">
        <f t="shared" si="4"/>
        <v>80</v>
      </c>
      <c r="C24" s="1157">
        <v>7.6191000000000004</v>
      </c>
      <c r="D24" s="1157">
        <f>'[4]ดอกเบี้ย,กำไร'!G25</f>
        <v>1</v>
      </c>
      <c r="E24" s="1157">
        <f>'[4]ดอกเบี้ย,กำไร'!G61</f>
        <v>4</v>
      </c>
      <c r="F24" s="1157">
        <f t="shared" si="0"/>
        <v>12.6191</v>
      </c>
      <c r="G24" s="1164">
        <f t="shared" si="1"/>
        <v>1.1261909999999999</v>
      </c>
      <c r="H24" s="1164">
        <f t="shared" si="2"/>
        <v>1.07</v>
      </c>
      <c r="I24" s="1165">
        <f t="shared" si="3"/>
        <v>1.2050000000000001</v>
      </c>
      <c r="J24" s="1166"/>
    </row>
    <row r="25" spans="1:10" ht="18.75" customHeight="1" x14ac:dyDescent="0.35">
      <c r="A25" s="1162"/>
      <c r="B25" s="1163">
        <f t="shared" si="4"/>
        <v>90</v>
      </c>
      <c r="C25" s="1157">
        <v>7.6108000000000002</v>
      </c>
      <c r="D25" s="1157">
        <f>'[4]ดอกเบี้ย,กำไร'!G26</f>
        <v>1</v>
      </c>
      <c r="E25" s="1157">
        <f>'[4]ดอกเบี้ย,กำไร'!G62</f>
        <v>4</v>
      </c>
      <c r="F25" s="1157">
        <f t="shared" si="0"/>
        <v>12.610800000000001</v>
      </c>
      <c r="G25" s="1164">
        <f t="shared" si="1"/>
        <v>1.1261079999999999</v>
      </c>
      <c r="H25" s="1164">
        <f t="shared" si="2"/>
        <v>1.07</v>
      </c>
      <c r="I25" s="1165">
        <f t="shared" si="3"/>
        <v>1.2049000000000001</v>
      </c>
      <c r="J25" s="1166"/>
    </row>
    <row r="26" spans="1:10" ht="18" customHeight="1" x14ac:dyDescent="0.35">
      <c r="A26" s="1162"/>
      <c r="B26" s="1163">
        <f t="shared" si="4"/>
        <v>100</v>
      </c>
      <c r="C26" s="1157">
        <v>7.6108000000000002</v>
      </c>
      <c r="D26" s="1157">
        <f>'[4]ดอกเบี้ย,กำไร'!G27</f>
        <v>1</v>
      </c>
      <c r="E26" s="1157">
        <f>'[4]ดอกเบี้ย,กำไร'!G63</f>
        <v>4</v>
      </c>
      <c r="F26" s="1157">
        <f t="shared" si="0"/>
        <v>12.610800000000001</v>
      </c>
      <c r="G26" s="1164">
        <f t="shared" si="1"/>
        <v>1.1261079999999999</v>
      </c>
      <c r="H26" s="1164">
        <f t="shared" si="2"/>
        <v>1.07</v>
      </c>
      <c r="I26" s="1165">
        <f t="shared" si="3"/>
        <v>1.2049000000000001</v>
      </c>
      <c r="J26" s="1166"/>
    </row>
    <row r="27" spans="1:10" ht="19.5" customHeight="1" x14ac:dyDescent="0.35">
      <c r="A27" s="1162"/>
      <c r="B27" s="1163">
        <v>150</v>
      </c>
      <c r="C27" s="1157">
        <v>7.3615000000000004</v>
      </c>
      <c r="D27" s="1157">
        <f>'[4]ดอกเบี้ย,กำไร'!G28</f>
        <v>1</v>
      </c>
      <c r="E27" s="1157">
        <f>'[4]ดอกเบี้ย,กำไร'!G64</f>
        <v>4</v>
      </c>
      <c r="F27" s="1157">
        <f t="shared" si="0"/>
        <v>12.361499999999999</v>
      </c>
      <c r="G27" s="1164">
        <f t="shared" si="1"/>
        <v>1.123615</v>
      </c>
      <c r="H27" s="1164">
        <f t="shared" si="2"/>
        <v>1.07</v>
      </c>
      <c r="I27" s="1165">
        <f t="shared" si="3"/>
        <v>1.2022999999999999</v>
      </c>
      <c r="J27" s="1166"/>
    </row>
    <row r="28" spans="1:10" ht="19.5" customHeight="1" x14ac:dyDescent="0.35">
      <c r="A28" s="1162"/>
      <c r="B28" s="1163">
        <v>200</v>
      </c>
      <c r="C28" s="1157">
        <v>7.3632</v>
      </c>
      <c r="D28" s="1157">
        <f>'[4]ดอกเบี้ย,กำไร'!G29</f>
        <v>1</v>
      </c>
      <c r="E28" s="1157">
        <f>'[4]ดอกเบี้ย,กำไร'!G65</f>
        <v>4</v>
      </c>
      <c r="F28" s="1157">
        <f t="shared" si="0"/>
        <v>12.363199999999999</v>
      </c>
      <c r="G28" s="1164">
        <f t="shared" si="1"/>
        <v>1.123632</v>
      </c>
      <c r="H28" s="1164">
        <f t="shared" si="2"/>
        <v>1.07</v>
      </c>
      <c r="I28" s="1165">
        <f t="shared" si="3"/>
        <v>1.2022999999999999</v>
      </c>
      <c r="J28" s="1166"/>
    </row>
    <row r="29" spans="1:10" ht="20.25" customHeight="1" x14ac:dyDescent="0.35">
      <c r="A29" s="1162"/>
      <c r="B29" s="1163">
        <v>250</v>
      </c>
      <c r="C29" s="1157">
        <v>7.2751000000000001</v>
      </c>
      <c r="D29" s="1157">
        <f>'[4]ดอกเบี้ย,กำไร'!G30</f>
        <v>1</v>
      </c>
      <c r="E29" s="1157">
        <f>'[4]ดอกเบี้ย,กำไร'!G66</f>
        <v>4</v>
      </c>
      <c r="F29" s="1157">
        <f t="shared" si="0"/>
        <v>12.2751</v>
      </c>
      <c r="G29" s="1164">
        <f t="shared" si="1"/>
        <v>1.1227510000000001</v>
      </c>
      <c r="H29" s="1164">
        <f t="shared" si="2"/>
        <v>1.07</v>
      </c>
      <c r="I29" s="1165">
        <f t="shared" si="3"/>
        <v>1.2013</v>
      </c>
      <c r="J29" s="1166"/>
    </row>
    <row r="30" spans="1:10" ht="20.25" customHeight="1" x14ac:dyDescent="0.35">
      <c r="A30" s="1162"/>
      <c r="B30" s="1163">
        <v>300</v>
      </c>
      <c r="C30" s="1157">
        <v>7.1959</v>
      </c>
      <c r="D30" s="1157">
        <f>'[4]ดอกเบี้ย,กำไร'!G31</f>
        <v>1</v>
      </c>
      <c r="E30" s="1157">
        <f>'[4]ดอกเบี้ย,กำไร'!G67</f>
        <v>3.5</v>
      </c>
      <c r="F30" s="1157">
        <f t="shared" si="0"/>
        <v>11.6959</v>
      </c>
      <c r="G30" s="1164">
        <f t="shared" si="1"/>
        <v>1.116959</v>
      </c>
      <c r="H30" s="1164">
        <f t="shared" si="2"/>
        <v>1.07</v>
      </c>
      <c r="I30" s="1165">
        <f t="shared" si="3"/>
        <v>1.1951000000000001</v>
      </c>
      <c r="J30" s="1166"/>
    </row>
    <row r="31" spans="1:10" ht="20.25" customHeight="1" x14ac:dyDescent="0.35">
      <c r="A31" s="1162"/>
      <c r="B31" s="1163">
        <v>350</v>
      </c>
      <c r="C31" s="1157">
        <v>6.3974000000000002</v>
      </c>
      <c r="D31" s="1157">
        <f>'[4]ดอกเบี้ย,กำไร'!G32</f>
        <v>1</v>
      </c>
      <c r="E31" s="1157">
        <f>'[4]ดอกเบี้ย,กำไร'!G68</f>
        <v>3.5</v>
      </c>
      <c r="F31" s="1157">
        <f t="shared" si="0"/>
        <v>10.897400000000001</v>
      </c>
      <c r="G31" s="1164">
        <f t="shared" si="1"/>
        <v>1.1089739999999999</v>
      </c>
      <c r="H31" s="1164">
        <f t="shared" si="2"/>
        <v>1.07</v>
      </c>
      <c r="I31" s="1165">
        <f t="shared" si="3"/>
        <v>1.1866000000000001</v>
      </c>
      <c r="J31" s="1166"/>
    </row>
    <row r="32" spans="1:10" ht="20.25" customHeight="1" x14ac:dyDescent="0.35">
      <c r="A32" s="1162"/>
      <c r="B32" s="1163">
        <v>400</v>
      </c>
      <c r="C32" s="1157">
        <v>6.3220000000000001</v>
      </c>
      <c r="D32" s="1157">
        <f>'[4]ดอกเบี้ย,กำไร'!G33</f>
        <v>1</v>
      </c>
      <c r="E32" s="1157">
        <f>'[4]ดอกเบี้ย,กำไร'!G69</f>
        <v>3.5</v>
      </c>
      <c r="F32" s="1157">
        <f t="shared" si="0"/>
        <v>10.821999999999999</v>
      </c>
      <c r="G32" s="1164">
        <f t="shared" si="1"/>
        <v>1.10822</v>
      </c>
      <c r="H32" s="1164">
        <f t="shared" si="2"/>
        <v>1.07</v>
      </c>
      <c r="I32" s="1165">
        <f t="shared" si="3"/>
        <v>1.1858</v>
      </c>
      <c r="J32" s="1166"/>
    </row>
    <row r="33" spans="1:10" ht="20.25" customHeight="1" x14ac:dyDescent="0.35">
      <c r="A33" s="1162"/>
      <c r="B33" s="1163">
        <v>500</v>
      </c>
      <c r="C33" s="1157">
        <v>6.2743000000000002</v>
      </c>
      <c r="D33" s="1157">
        <f>'[4]ดอกเบี้ย,กำไร'!G34</f>
        <v>1</v>
      </c>
      <c r="E33" s="1157">
        <f>'[4]ดอกเบี้ย,กำไร'!G70</f>
        <v>3.5</v>
      </c>
      <c r="F33" s="1157">
        <f t="shared" si="0"/>
        <v>10.7743</v>
      </c>
      <c r="G33" s="1164">
        <f t="shared" si="1"/>
        <v>1.1077429999999999</v>
      </c>
      <c r="H33" s="1164">
        <f t="shared" si="2"/>
        <v>1.07</v>
      </c>
      <c r="I33" s="1165">
        <f t="shared" si="3"/>
        <v>1.1853</v>
      </c>
      <c r="J33" s="1166"/>
    </row>
    <row r="34" spans="1:10" ht="21" customHeight="1" x14ac:dyDescent="0.35">
      <c r="A34" s="1167" t="s">
        <v>268</v>
      </c>
      <c r="B34" s="1168">
        <v>500</v>
      </c>
      <c r="C34" s="1169">
        <v>5.6692</v>
      </c>
      <c r="D34" s="1169">
        <f>'[4]ดอกเบี้ย,กำไร'!G35</f>
        <v>1</v>
      </c>
      <c r="E34" s="1169">
        <f>'[4]ดอกเบี้ย,กำไร'!G71</f>
        <v>3.5</v>
      </c>
      <c r="F34" s="1170">
        <f t="shared" si="0"/>
        <v>10.1692</v>
      </c>
      <c r="G34" s="1169">
        <f t="shared" si="1"/>
        <v>1.1016919999999999</v>
      </c>
      <c r="H34" s="1169">
        <f t="shared" si="2"/>
        <v>1.07</v>
      </c>
      <c r="I34" s="1171">
        <f t="shared" si="3"/>
        <v>1.1788000000000001</v>
      </c>
      <c r="J34" s="1172"/>
    </row>
    <row r="35" spans="1:10" ht="31.5" customHeight="1" x14ac:dyDescent="0.35">
      <c r="A35" s="1099" t="s">
        <v>1439</v>
      </c>
      <c r="B35" s="1100"/>
      <c r="C35" s="1100"/>
      <c r="D35" s="1100"/>
      <c r="E35" s="1100"/>
      <c r="F35" s="1100"/>
      <c r="G35" s="1100"/>
      <c r="H35" s="1100"/>
      <c r="I35" s="1101" t="s">
        <v>269</v>
      </c>
      <c r="J35" s="1100"/>
    </row>
    <row r="36" spans="1:10" ht="21.75" hidden="1" customHeight="1" x14ac:dyDescent="0.35">
      <c r="A36" s="1102"/>
      <c r="B36" s="1103"/>
      <c r="C36" s="1103"/>
      <c r="D36" s="1103"/>
      <c r="E36" s="1103"/>
      <c r="F36" s="1103"/>
      <c r="G36" s="1103"/>
      <c r="H36" s="1103"/>
      <c r="I36" s="1103"/>
      <c r="J36" s="1103"/>
    </row>
    <row r="37" spans="1:10" ht="24.75" customHeight="1" x14ac:dyDescent="0.35">
      <c r="A37" s="1066" t="s">
        <v>270</v>
      </c>
      <c r="B37" s="1066"/>
      <c r="C37" s="1066"/>
      <c r="D37" s="1066"/>
      <c r="E37" s="1066"/>
      <c r="F37" s="1066"/>
      <c r="G37" s="1066"/>
      <c r="H37" s="1066"/>
      <c r="I37" s="1066"/>
      <c r="J37" s="1066"/>
    </row>
    <row r="39" spans="1:10" ht="32.25" customHeight="1" x14ac:dyDescent="0.35">
      <c r="A39" s="1104" t="s">
        <v>271</v>
      </c>
      <c r="B39" s="1104"/>
      <c r="C39" s="1104"/>
      <c r="D39" s="1104"/>
      <c r="E39" s="1104"/>
      <c r="F39" s="1104"/>
      <c r="G39" s="1104"/>
      <c r="H39" s="1104"/>
      <c r="I39" s="1104"/>
      <c r="J39" s="1104"/>
    </row>
    <row r="40" spans="1:10" ht="21.75" customHeight="1" x14ac:dyDescent="0.35">
      <c r="A40" s="1070">
        <v>1</v>
      </c>
      <c r="B40" s="1070" t="s">
        <v>272</v>
      </c>
      <c r="C40" s="1070"/>
      <c r="D40" s="1070"/>
      <c r="E40" s="1070"/>
      <c r="F40" s="1070"/>
      <c r="G40" s="1070"/>
      <c r="H40" s="1070"/>
      <c r="I40" s="1070"/>
      <c r="J40" s="1070"/>
    </row>
    <row r="41" spans="1:10" x14ac:dyDescent="0.35">
      <c r="A41" s="1070">
        <v>2</v>
      </c>
      <c r="B41" s="1070" t="s">
        <v>543</v>
      </c>
      <c r="C41" s="1070"/>
      <c r="D41" s="1070"/>
      <c r="E41" s="1070"/>
      <c r="F41" s="1070"/>
      <c r="G41" s="1070"/>
      <c r="H41" s="1070"/>
      <c r="I41" s="1070"/>
      <c r="J41" s="1070"/>
    </row>
    <row r="42" spans="1:10" x14ac:dyDescent="0.35">
      <c r="A42" s="1070">
        <v>4</v>
      </c>
      <c r="B42" s="1070" t="s">
        <v>544</v>
      </c>
      <c r="C42" s="1070"/>
      <c r="D42" s="1070"/>
      <c r="E42" s="1070"/>
      <c r="F42" s="1070"/>
      <c r="G42" s="1070"/>
      <c r="H42" s="1070"/>
      <c r="I42" s="1070"/>
      <c r="J42" s="1070"/>
    </row>
    <row r="43" spans="1:10" x14ac:dyDescent="0.35">
      <c r="A43" s="1070"/>
      <c r="B43" s="1070" t="s">
        <v>545</v>
      </c>
      <c r="C43" s="1070"/>
      <c r="D43" s="1070"/>
      <c r="E43" s="1070"/>
      <c r="F43" s="1070"/>
      <c r="G43" s="1070"/>
      <c r="H43" s="1070"/>
      <c r="I43" s="1070"/>
      <c r="J43" s="1070"/>
    </row>
    <row r="44" spans="1:10" x14ac:dyDescent="0.35">
      <c r="A44" s="1070">
        <v>5</v>
      </c>
      <c r="B44" s="1070" t="s">
        <v>546</v>
      </c>
      <c r="C44" s="1070"/>
      <c r="D44" s="1070"/>
      <c r="E44" s="1070"/>
      <c r="F44" s="1070"/>
      <c r="G44" s="1070"/>
      <c r="H44" s="1070"/>
      <c r="I44" s="1070"/>
      <c r="J44" s="1070"/>
    </row>
    <row r="45" spans="1:10" x14ac:dyDescent="0.35">
      <c r="A45" s="1070"/>
      <c r="B45" s="1070" t="s">
        <v>547</v>
      </c>
      <c r="C45" s="1070"/>
      <c r="D45" s="1070"/>
      <c r="E45" s="1070"/>
      <c r="F45" s="1070"/>
      <c r="G45" s="1070"/>
      <c r="H45" s="1070"/>
      <c r="I45" s="1070"/>
      <c r="J45" s="1070"/>
    </row>
    <row r="46" spans="1:10" x14ac:dyDescent="0.35">
      <c r="A46" s="1070"/>
      <c r="B46" s="1070"/>
      <c r="C46" s="1070"/>
      <c r="D46" s="1070"/>
      <c r="E46" s="1070"/>
      <c r="F46" s="1070"/>
      <c r="G46" s="1070"/>
      <c r="H46" s="1070"/>
      <c r="I46" s="1070"/>
      <c r="J46" s="1070"/>
    </row>
    <row r="47" spans="1:10" ht="33" customHeight="1" x14ac:dyDescent="0.35">
      <c r="A47" s="1104" t="s">
        <v>548</v>
      </c>
      <c r="B47" s="1104"/>
      <c r="C47" s="1104"/>
      <c r="D47" s="1104"/>
      <c r="E47" s="1104"/>
      <c r="F47" s="1104"/>
      <c r="G47" s="1104"/>
      <c r="H47" s="1104"/>
      <c r="I47" s="1104"/>
      <c r="J47" s="1104"/>
    </row>
    <row r="48" spans="1:10" ht="21.75" customHeight="1" x14ac:dyDescent="0.35">
      <c r="A48" s="1070"/>
      <c r="B48" s="1070" t="s">
        <v>549</v>
      </c>
      <c r="C48" s="1070"/>
      <c r="D48" s="1070"/>
      <c r="E48" s="1070"/>
      <c r="F48" s="1070"/>
      <c r="G48" s="1070"/>
      <c r="H48" s="1070"/>
      <c r="I48" s="1070"/>
      <c r="J48" s="1070"/>
    </row>
    <row r="49" spans="1:10" ht="21.75" customHeight="1" x14ac:dyDescent="0.35">
      <c r="A49" s="1070" t="s">
        <v>550</v>
      </c>
      <c r="B49" s="1070"/>
      <c r="C49" s="1070"/>
      <c r="D49" s="1070"/>
      <c r="E49" s="1070"/>
      <c r="F49" s="1070"/>
      <c r="G49" s="1070"/>
      <c r="H49" s="1070"/>
      <c r="I49" s="1070"/>
      <c r="J49" s="1070"/>
    </row>
    <row r="50" spans="1:10" ht="21.75" customHeight="1" x14ac:dyDescent="0.35">
      <c r="A50" s="1070" t="s">
        <v>551</v>
      </c>
      <c r="B50" s="1070"/>
      <c r="C50" s="1070"/>
      <c r="D50" s="1070"/>
      <c r="E50" s="1070"/>
      <c r="F50" s="1070"/>
      <c r="G50" s="1070"/>
      <c r="H50" s="1070"/>
      <c r="I50" s="1070"/>
      <c r="J50" s="1070"/>
    </row>
    <row r="51" spans="1:10" ht="21.75" customHeight="1" x14ac:dyDescent="0.35">
      <c r="A51" s="1070" t="s">
        <v>88</v>
      </c>
      <c r="B51" s="1070"/>
      <c r="C51" s="1070"/>
      <c r="D51" s="1070"/>
      <c r="E51" s="1070"/>
      <c r="F51" s="1070"/>
      <c r="G51" s="1070"/>
      <c r="H51" s="1070"/>
      <c r="I51" s="1070"/>
      <c r="J51" s="1070"/>
    </row>
    <row r="52" spans="1:10" ht="21.75" customHeight="1" x14ac:dyDescent="0.35">
      <c r="A52" s="1070" t="s">
        <v>89</v>
      </c>
      <c r="B52" s="1070"/>
      <c r="C52" s="1070"/>
      <c r="D52" s="1070"/>
      <c r="E52" s="1070"/>
      <c r="F52" s="1070"/>
      <c r="G52" s="1070"/>
      <c r="H52" s="1070"/>
      <c r="I52" s="1070"/>
      <c r="J52" s="1070"/>
    </row>
    <row r="53" spans="1:10" ht="21.75" customHeight="1" x14ac:dyDescent="0.35">
      <c r="A53" s="1070"/>
      <c r="B53" s="1070" t="s">
        <v>90</v>
      </c>
      <c r="C53" s="1070"/>
      <c r="D53" s="1070"/>
      <c r="E53" s="1070"/>
      <c r="F53" s="1070"/>
      <c r="G53" s="1070"/>
      <c r="H53" s="1070"/>
      <c r="I53" s="1070"/>
      <c r="J53" s="1070"/>
    </row>
    <row r="54" spans="1:10" ht="21.75" customHeight="1" x14ac:dyDescent="0.35">
      <c r="A54" s="1070" t="s">
        <v>91</v>
      </c>
      <c r="B54" s="1070"/>
      <c r="C54" s="1070"/>
      <c r="D54" s="1070"/>
      <c r="E54" s="1070"/>
      <c r="F54" s="1070"/>
      <c r="G54" s="1070"/>
      <c r="H54" s="1070"/>
      <c r="I54" s="1070"/>
      <c r="J54" s="1070"/>
    </row>
    <row r="55" spans="1:10" ht="21.75" customHeight="1" x14ac:dyDescent="0.35">
      <c r="A55" s="1070" t="s">
        <v>92</v>
      </c>
      <c r="B55" s="1070"/>
      <c r="C55" s="1070"/>
      <c r="D55" s="1070"/>
      <c r="E55" s="1070"/>
      <c r="F55" s="1070"/>
      <c r="G55" s="1070"/>
      <c r="H55" s="1070"/>
      <c r="I55" s="1070"/>
      <c r="J55" s="1070"/>
    </row>
    <row r="56" spans="1:10" ht="21.75" customHeight="1" x14ac:dyDescent="0.35">
      <c r="A56" s="1070" t="s">
        <v>93</v>
      </c>
      <c r="B56" s="1070"/>
      <c r="C56" s="1070"/>
      <c r="D56" s="1070"/>
      <c r="E56" s="1070"/>
      <c r="F56" s="1070"/>
      <c r="G56" s="1070"/>
      <c r="H56" s="1070"/>
      <c r="I56" s="1070"/>
      <c r="J56" s="1070"/>
    </row>
    <row r="57" spans="1:10" ht="21.75" customHeight="1" x14ac:dyDescent="0.35">
      <c r="A57" s="1105" t="s">
        <v>1440</v>
      </c>
      <c r="B57" s="1070"/>
      <c r="C57" s="1070"/>
      <c r="D57" s="1070"/>
      <c r="E57" s="1070"/>
      <c r="F57" s="1070"/>
      <c r="G57" s="1070"/>
      <c r="H57" s="1070"/>
      <c r="I57" s="1070"/>
      <c r="J57" s="1070"/>
    </row>
    <row r="58" spans="1:10" ht="21.75" customHeight="1" x14ac:dyDescent="0.35">
      <c r="A58" s="1070"/>
      <c r="B58" s="1070">
        <v>1</v>
      </c>
      <c r="C58" s="1070" t="s">
        <v>94</v>
      </c>
      <c r="D58" s="1070"/>
      <c r="E58" s="1070"/>
      <c r="F58" s="1070"/>
      <c r="G58" s="1070"/>
      <c r="H58" s="1070"/>
      <c r="I58" s="1070"/>
      <c r="J58" s="1070"/>
    </row>
    <row r="59" spans="1:10" ht="21.75" customHeight="1" x14ac:dyDescent="0.35">
      <c r="A59" s="1070"/>
      <c r="B59" s="1070">
        <v>2</v>
      </c>
      <c r="C59" s="1070" t="s">
        <v>264</v>
      </c>
      <c r="D59" s="1070"/>
      <c r="E59" s="1070"/>
      <c r="F59" s="1070"/>
      <c r="G59" s="1070"/>
      <c r="H59" s="1070"/>
      <c r="I59" s="1070"/>
      <c r="J59" s="1070"/>
    </row>
    <row r="60" spans="1:10" ht="21.75" customHeight="1" x14ac:dyDescent="0.35">
      <c r="A60" s="1070"/>
      <c r="B60" s="1070">
        <v>3</v>
      </c>
      <c r="C60" s="1070" t="s">
        <v>265</v>
      </c>
      <c r="D60" s="1070"/>
      <c r="E60" s="1070"/>
      <c r="F60" s="1070"/>
      <c r="G60" s="1070"/>
      <c r="H60" s="1070"/>
      <c r="I60" s="1070"/>
      <c r="J60" s="1070"/>
    </row>
    <row r="61" spans="1:10" ht="21.75" customHeight="1" x14ac:dyDescent="0.35">
      <c r="A61" s="1070"/>
      <c r="B61" s="1070">
        <v>4</v>
      </c>
      <c r="C61" s="1070" t="s">
        <v>95</v>
      </c>
      <c r="D61" s="1070"/>
      <c r="E61" s="1070"/>
      <c r="F61" s="1070"/>
      <c r="G61" s="1070"/>
      <c r="H61" s="1070"/>
      <c r="I61" s="1070"/>
      <c r="J61" s="1070"/>
    </row>
    <row r="62" spans="1:10" ht="21.75" customHeight="1" x14ac:dyDescent="0.35">
      <c r="A62" s="1070"/>
      <c r="B62" s="1105" t="s">
        <v>96</v>
      </c>
      <c r="C62" s="1070"/>
      <c r="D62" s="1070" t="s">
        <v>97</v>
      </c>
      <c r="E62" s="1070"/>
      <c r="F62" s="1070"/>
      <c r="G62" s="1070"/>
      <c r="H62" s="1070"/>
      <c r="I62" s="1070"/>
      <c r="J62" s="1070"/>
    </row>
    <row r="63" spans="1:10" ht="21.75" customHeight="1" x14ac:dyDescent="0.35">
      <c r="A63" s="1070"/>
      <c r="B63" s="1070">
        <v>1.1000000000000001</v>
      </c>
      <c r="C63" s="1070" t="s">
        <v>98</v>
      </c>
      <c r="D63" s="1070"/>
      <c r="E63" s="1070"/>
      <c r="F63" s="1070"/>
      <c r="G63" s="1070"/>
      <c r="H63" s="1070"/>
      <c r="I63" s="1070"/>
      <c r="J63" s="1070"/>
    </row>
    <row r="64" spans="1:10" ht="21.75" customHeight="1" x14ac:dyDescent="0.35">
      <c r="A64" s="1070"/>
      <c r="B64" s="1070"/>
      <c r="C64" s="1070" t="s">
        <v>99</v>
      </c>
      <c r="D64" s="1070"/>
      <c r="E64" s="1070"/>
      <c r="F64" s="1070"/>
      <c r="G64" s="1070"/>
      <c r="H64" s="1070"/>
      <c r="I64" s="1070"/>
      <c r="J64" s="1070"/>
    </row>
    <row r="65" spans="1:20" ht="21.75" customHeight="1" x14ac:dyDescent="0.35">
      <c r="A65" s="1070"/>
      <c r="B65" s="1070"/>
      <c r="C65" s="1070" t="s">
        <v>100</v>
      </c>
      <c r="D65" s="1070"/>
      <c r="E65" s="1070"/>
      <c r="F65" s="1070"/>
      <c r="G65" s="1070"/>
      <c r="H65" s="1070"/>
      <c r="I65" s="1070"/>
      <c r="J65" s="1070"/>
    </row>
    <row r="66" spans="1:20" ht="21.75" customHeight="1" x14ac:dyDescent="0.35">
      <c r="A66" s="1070"/>
      <c r="B66" s="1070"/>
      <c r="C66" s="1070" t="s">
        <v>101</v>
      </c>
      <c r="D66" s="1070"/>
      <c r="E66" s="1070"/>
      <c r="F66" s="1070"/>
      <c r="G66" s="1070"/>
      <c r="H66" s="1070"/>
      <c r="I66" s="1070"/>
      <c r="J66" s="1070"/>
    </row>
    <row r="67" spans="1:20" ht="21.75" customHeight="1" x14ac:dyDescent="0.35">
      <c r="A67" s="1070"/>
      <c r="B67" s="1070"/>
      <c r="C67" s="1070" t="s">
        <v>192</v>
      </c>
      <c r="D67" s="1070"/>
      <c r="E67" s="1070"/>
      <c r="F67" s="1070"/>
      <c r="G67" s="1070"/>
      <c r="H67" s="1070"/>
      <c r="I67" s="1070"/>
      <c r="J67" s="1070"/>
    </row>
    <row r="68" spans="1:20" ht="21.75" customHeight="1" x14ac:dyDescent="0.35">
      <c r="A68" s="1070"/>
      <c r="B68" s="1070">
        <v>1.2</v>
      </c>
      <c r="C68" s="1070" t="s">
        <v>193</v>
      </c>
      <c r="D68" s="1070"/>
      <c r="E68" s="1070"/>
      <c r="F68" s="1070"/>
      <c r="G68" s="1070"/>
      <c r="H68" s="1070"/>
      <c r="I68" s="1070"/>
      <c r="J68" s="1070"/>
    </row>
    <row r="69" spans="1:20" ht="21.75" customHeight="1" x14ac:dyDescent="0.35">
      <c r="A69" s="1070"/>
      <c r="B69" s="1070">
        <v>1.3</v>
      </c>
      <c r="C69" s="1070" t="s">
        <v>194</v>
      </c>
      <c r="D69" s="1070"/>
      <c r="E69" s="1070"/>
      <c r="F69" s="1070"/>
      <c r="G69" s="1070"/>
      <c r="H69" s="1070"/>
      <c r="I69" s="1070"/>
      <c r="J69" s="1070"/>
    </row>
    <row r="70" spans="1:20" ht="21.75" customHeight="1" x14ac:dyDescent="0.35">
      <c r="A70" s="1070"/>
      <c r="B70" s="1070">
        <v>1.4</v>
      </c>
      <c r="C70" s="1070" t="s">
        <v>195</v>
      </c>
      <c r="D70" s="1070"/>
      <c r="E70" s="1070"/>
      <c r="F70" s="1070"/>
      <c r="G70" s="1070"/>
      <c r="H70" s="1070"/>
      <c r="I70" s="1070"/>
      <c r="J70" s="1070"/>
    </row>
    <row r="71" spans="1:20" ht="21.75" customHeight="1" x14ac:dyDescent="0.35">
      <c r="A71" s="1070"/>
      <c r="B71" s="1070"/>
      <c r="C71" s="1070"/>
      <c r="D71" s="1070"/>
      <c r="E71" s="1070"/>
      <c r="F71" s="1070"/>
      <c r="G71" s="1070"/>
      <c r="H71" s="1070"/>
      <c r="I71" s="1070"/>
      <c r="J71" s="1070"/>
    </row>
    <row r="72" spans="1:20" ht="21.75" customHeight="1" x14ac:dyDescent="0.35">
      <c r="A72" s="1106" t="s">
        <v>196</v>
      </c>
      <c r="B72" s="1106"/>
      <c r="C72" s="1106"/>
      <c r="D72" s="1106"/>
      <c r="E72" s="1106"/>
      <c r="F72" s="1106"/>
      <c r="G72" s="1106"/>
      <c r="H72" s="1106"/>
      <c r="I72" s="1106"/>
      <c r="J72" s="1106"/>
    </row>
    <row r="73" spans="1:20" ht="21.75" customHeight="1" x14ac:dyDescent="0.35">
      <c r="A73" s="1070"/>
      <c r="B73" s="1070"/>
      <c r="C73" s="1070"/>
      <c r="D73" s="1070"/>
      <c r="E73" s="1070"/>
      <c r="F73" s="1070"/>
      <c r="G73" s="1070"/>
      <c r="H73" s="1070"/>
      <c r="I73" s="1070"/>
      <c r="J73" s="1070"/>
    </row>
    <row r="74" spans="1:20" ht="21.75" customHeight="1" x14ac:dyDescent="0.35">
      <c r="A74" s="1070"/>
      <c r="B74" s="1105" t="s">
        <v>197</v>
      </c>
      <c r="C74" s="1070"/>
      <c r="D74" s="1070"/>
      <c r="E74" s="1070"/>
      <c r="F74" s="1070"/>
      <c r="G74" s="1070"/>
      <c r="H74" s="1070"/>
      <c r="I74" s="1070"/>
      <c r="J74" s="1070"/>
    </row>
    <row r="75" spans="1:20" ht="21.75" customHeight="1" x14ac:dyDescent="0.55000000000000004">
      <c r="A75" s="1070"/>
      <c r="B75" s="1070" t="s">
        <v>198</v>
      </c>
      <c r="C75" s="1070"/>
      <c r="D75" s="1070"/>
      <c r="E75" s="1070"/>
      <c r="F75" s="1070"/>
      <c r="G75" s="1070"/>
      <c r="H75" s="1070"/>
      <c r="I75" s="1070"/>
      <c r="J75" s="1070"/>
      <c r="L75" s="1107"/>
      <c r="M75" s="1107"/>
      <c r="N75" s="1107"/>
      <c r="O75" s="1107"/>
      <c r="P75" s="1107"/>
      <c r="Q75" s="1107"/>
      <c r="R75" s="1107"/>
      <c r="S75" s="1107"/>
      <c r="T75" s="1107"/>
    </row>
    <row r="76" spans="1:20" ht="21.75" customHeight="1" x14ac:dyDescent="0.35">
      <c r="A76" s="1070" t="s">
        <v>199</v>
      </c>
      <c r="B76" s="1070"/>
      <c r="C76" s="1070"/>
      <c r="D76" s="1070"/>
      <c r="E76" s="1070"/>
      <c r="F76" s="1070"/>
      <c r="G76" s="1070"/>
      <c r="H76" s="1070"/>
      <c r="I76" s="1070"/>
      <c r="J76" s="1070"/>
    </row>
    <row r="77" spans="1:20" ht="21.75" customHeight="1" x14ac:dyDescent="0.35">
      <c r="A77" s="1070"/>
      <c r="B77" s="1070" t="s">
        <v>200</v>
      </c>
      <c r="C77" s="1070"/>
      <c r="D77" s="1070"/>
      <c r="E77" s="1070"/>
      <c r="F77" s="1070"/>
      <c r="G77" s="1070"/>
      <c r="H77" s="1070"/>
      <c r="I77" s="1070"/>
      <c r="J77" s="1070"/>
    </row>
    <row r="78" spans="1:20" ht="21.75" customHeight="1" x14ac:dyDescent="0.35">
      <c r="A78" s="1070" t="s">
        <v>201</v>
      </c>
      <c r="B78" s="1105"/>
      <c r="C78" s="1070"/>
      <c r="D78" s="1070"/>
      <c r="E78" s="1070"/>
      <c r="F78" s="1070"/>
      <c r="G78" s="1070"/>
      <c r="H78" s="1070"/>
      <c r="I78" s="1070"/>
      <c r="J78" s="1070"/>
    </row>
    <row r="79" spans="1:20" ht="21.75" customHeight="1" x14ac:dyDescent="0.35">
      <c r="A79" s="1070" t="s">
        <v>202</v>
      </c>
      <c r="B79" s="1070"/>
      <c r="C79" s="1070"/>
      <c r="D79" s="1070"/>
      <c r="E79" s="1070"/>
      <c r="F79" s="1070"/>
      <c r="G79" s="1070"/>
      <c r="H79" s="1070"/>
      <c r="I79" s="1070"/>
      <c r="J79" s="1070"/>
    </row>
    <row r="80" spans="1:20" ht="21.75" customHeight="1" x14ac:dyDescent="0.35">
      <c r="A80" s="1070" t="s">
        <v>203</v>
      </c>
      <c r="B80" s="1070"/>
      <c r="C80" s="1070"/>
      <c r="D80" s="1070"/>
      <c r="E80" s="1070"/>
      <c r="F80" s="1070"/>
      <c r="G80" s="1070"/>
      <c r="H80" s="1070"/>
      <c r="I80" s="1070"/>
      <c r="J80" s="1070"/>
    </row>
    <row r="81" spans="1:10" ht="21.75" customHeight="1" x14ac:dyDescent="0.35">
      <c r="A81" s="1070" t="s">
        <v>204</v>
      </c>
      <c r="B81" s="1070"/>
      <c r="C81" s="1070"/>
      <c r="D81" s="1070"/>
      <c r="E81" s="1070"/>
      <c r="F81" s="1070"/>
      <c r="G81" s="1070"/>
      <c r="H81" s="1070"/>
      <c r="I81" s="1070"/>
      <c r="J81" s="1070"/>
    </row>
    <row r="82" spans="1:10" ht="21.75" customHeight="1" x14ac:dyDescent="0.35">
      <c r="A82" s="1070"/>
      <c r="B82" s="1070" t="s">
        <v>205</v>
      </c>
      <c r="C82" s="1070"/>
      <c r="D82" s="1070"/>
      <c r="E82" s="1070"/>
      <c r="F82" s="1070"/>
      <c r="G82" s="1070"/>
      <c r="H82" s="1070"/>
      <c r="I82" s="1070"/>
      <c r="J82" s="1070"/>
    </row>
    <row r="83" spans="1:10" ht="21.75" customHeight="1" x14ac:dyDescent="0.35">
      <c r="A83" s="1070" t="s">
        <v>206</v>
      </c>
      <c r="B83" s="1070"/>
      <c r="C83" s="1070"/>
      <c r="D83" s="1070"/>
      <c r="E83" s="1070"/>
      <c r="F83" s="1070"/>
      <c r="G83" s="1070"/>
      <c r="H83" s="1070"/>
      <c r="I83" s="1070"/>
      <c r="J83" s="1070"/>
    </row>
    <row r="84" spans="1:10" ht="21.75" customHeight="1" x14ac:dyDescent="0.35">
      <c r="A84" s="1070"/>
      <c r="B84" s="1070"/>
      <c r="C84" s="1070"/>
      <c r="D84" s="1070"/>
      <c r="E84" s="1070"/>
      <c r="F84" s="1070"/>
      <c r="G84" s="1070"/>
      <c r="H84" s="1070"/>
      <c r="I84" s="1070"/>
      <c r="J84" s="1070"/>
    </row>
    <row r="85" spans="1:10" ht="21.75" customHeight="1" x14ac:dyDescent="0.35">
      <c r="A85" s="1070"/>
      <c r="B85" s="1105" t="s">
        <v>207</v>
      </c>
      <c r="C85" s="1070"/>
      <c r="D85" s="1070"/>
      <c r="E85" s="1070"/>
      <c r="F85" s="1070"/>
      <c r="G85" s="1070"/>
      <c r="H85" s="1070"/>
      <c r="I85" s="1070"/>
      <c r="J85" s="1070"/>
    </row>
    <row r="86" spans="1:10" ht="21.75" customHeight="1" x14ac:dyDescent="0.35">
      <c r="A86" s="1070"/>
      <c r="B86" s="1070" t="s">
        <v>208</v>
      </c>
      <c r="C86" s="1070"/>
      <c r="D86" s="1070"/>
      <c r="E86" s="1070"/>
      <c r="F86" s="1070"/>
      <c r="G86" s="1070"/>
      <c r="H86" s="1070"/>
      <c r="I86" s="1070"/>
      <c r="J86" s="1070"/>
    </row>
    <row r="87" spans="1:10" ht="21.75" customHeight="1" x14ac:dyDescent="0.35">
      <c r="A87" s="1070" t="s">
        <v>209</v>
      </c>
      <c r="B87" s="1070"/>
      <c r="C87" s="1070"/>
      <c r="D87" s="1070"/>
      <c r="E87" s="1070"/>
      <c r="F87" s="1070"/>
      <c r="G87" s="1070"/>
      <c r="H87" s="1070"/>
      <c r="I87" s="1070"/>
      <c r="J87" s="1070"/>
    </row>
    <row r="88" spans="1:10" ht="21.75" customHeight="1" x14ac:dyDescent="0.35">
      <c r="A88" s="1070"/>
      <c r="B88" s="1070"/>
      <c r="C88" s="1070"/>
      <c r="D88" s="1070"/>
      <c r="E88" s="1070"/>
      <c r="F88" s="1070"/>
      <c r="G88" s="1070"/>
      <c r="H88" s="1070"/>
      <c r="I88" s="1070"/>
      <c r="J88" s="1070"/>
    </row>
    <row r="89" spans="1:10" ht="21.75" customHeight="1" x14ac:dyDescent="0.35">
      <c r="A89" s="1070"/>
      <c r="B89" s="1105" t="s">
        <v>210</v>
      </c>
      <c r="C89" s="1070"/>
      <c r="D89" s="1070"/>
      <c r="E89" s="1070"/>
      <c r="F89" s="1070"/>
      <c r="G89" s="1070"/>
      <c r="H89" s="1070"/>
      <c r="I89" s="1070"/>
      <c r="J89" s="1070"/>
    </row>
    <row r="90" spans="1:10" ht="21.75" customHeight="1" x14ac:dyDescent="0.35">
      <c r="A90" s="1070"/>
      <c r="B90" s="1070" t="s">
        <v>211</v>
      </c>
      <c r="C90" s="1070"/>
      <c r="D90" s="1070"/>
      <c r="E90" s="1070"/>
      <c r="F90" s="1070"/>
      <c r="G90" s="1070"/>
      <c r="H90" s="1070"/>
      <c r="I90" s="1070"/>
      <c r="J90" s="1070"/>
    </row>
    <row r="91" spans="1:10" ht="21.75" customHeight="1" x14ac:dyDescent="0.35">
      <c r="A91" s="1070"/>
      <c r="B91" s="1070"/>
      <c r="C91" s="1070"/>
      <c r="D91" s="1070"/>
      <c r="E91" s="1070"/>
      <c r="F91" s="1070"/>
      <c r="G91" s="1070"/>
      <c r="H91" s="1070"/>
      <c r="I91" s="1070"/>
      <c r="J91" s="1070"/>
    </row>
    <row r="92" spans="1:10" ht="21.75" customHeight="1" x14ac:dyDescent="0.35">
      <c r="A92" s="1070"/>
      <c r="B92" s="1070"/>
      <c r="C92" s="1070"/>
      <c r="D92" s="1070"/>
      <c r="E92" s="1070"/>
      <c r="F92" s="1070"/>
      <c r="G92" s="1070"/>
      <c r="H92" s="1070"/>
      <c r="I92" s="1070"/>
      <c r="J92" s="1070"/>
    </row>
    <row r="93" spans="1:10" ht="21.75" customHeight="1" x14ac:dyDescent="0.35">
      <c r="A93" s="1070"/>
      <c r="B93" s="1070"/>
      <c r="C93" s="1070"/>
      <c r="D93" s="1070"/>
      <c r="E93" s="1070"/>
      <c r="F93" s="1070"/>
      <c r="G93" s="1070"/>
      <c r="H93" s="1070"/>
      <c r="I93" s="1070"/>
      <c r="J93" s="1070"/>
    </row>
    <row r="94" spans="1:10" ht="21.75" customHeight="1" x14ac:dyDescent="0.35">
      <c r="A94" s="1070"/>
      <c r="B94" s="1070"/>
      <c r="C94" s="1070"/>
      <c r="D94" s="1070"/>
      <c r="E94" s="1070"/>
      <c r="F94" s="1070"/>
      <c r="G94" s="1070"/>
      <c r="H94" s="1070"/>
      <c r="I94" s="1070"/>
      <c r="J94" s="1070"/>
    </row>
    <row r="95" spans="1:10" ht="21.75" customHeight="1" x14ac:dyDescent="0.35">
      <c r="A95" s="1070"/>
      <c r="B95" s="1070"/>
      <c r="C95" s="1070"/>
      <c r="D95" s="1070"/>
      <c r="E95" s="1070"/>
      <c r="F95" s="1070"/>
      <c r="G95" s="1070"/>
      <c r="H95" s="1070"/>
      <c r="I95" s="1070"/>
      <c r="J95" s="1070"/>
    </row>
    <row r="96" spans="1:10" ht="21.75" customHeight="1" x14ac:dyDescent="0.35">
      <c r="A96" s="1070"/>
      <c r="B96" s="1070"/>
      <c r="C96" s="1070"/>
      <c r="D96" s="1070"/>
      <c r="E96" s="1070"/>
      <c r="F96" s="1070"/>
      <c r="G96" s="1070"/>
      <c r="H96" s="1070"/>
      <c r="I96" s="1070"/>
      <c r="J96" s="1070"/>
    </row>
    <row r="97" spans="1:10" ht="21.75" customHeight="1" x14ac:dyDescent="0.35">
      <c r="A97" s="1070"/>
      <c r="B97" s="1070"/>
      <c r="C97" s="1070"/>
      <c r="D97" s="1070"/>
      <c r="E97" s="1070"/>
      <c r="F97" s="1070"/>
      <c r="G97" s="1070"/>
      <c r="H97" s="1070"/>
      <c r="I97" s="1070"/>
      <c r="J97" s="1070"/>
    </row>
    <row r="98" spans="1:10" ht="21.75" customHeight="1" x14ac:dyDescent="0.35">
      <c r="A98" s="1070"/>
      <c r="B98" s="1070"/>
      <c r="C98" s="1070"/>
      <c r="D98" s="1070"/>
      <c r="E98" s="1070"/>
      <c r="F98" s="1070"/>
      <c r="G98" s="1070"/>
      <c r="H98" s="1070"/>
      <c r="I98" s="1070"/>
      <c r="J98" s="1070"/>
    </row>
    <row r="99" spans="1:10" ht="21.75" customHeight="1" x14ac:dyDescent="0.35">
      <c r="A99" s="1070"/>
      <c r="B99" s="1070"/>
      <c r="C99" s="1070"/>
      <c r="D99" s="1070"/>
      <c r="E99" s="1070"/>
      <c r="F99" s="1070"/>
      <c r="G99" s="1070"/>
      <c r="H99" s="1070"/>
      <c r="I99" s="1070"/>
      <c r="J99" s="1070"/>
    </row>
    <row r="100" spans="1:10" ht="21.75" customHeight="1" x14ac:dyDescent="0.35">
      <c r="A100" s="1070"/>
      <c r="B100" s="1070"/>
      <c r="C100" s="1070"/>
      <c r="D100" s="1070"/>
      <c r="E100" s="1070"/>
      <c r="F100" s="1070"/>
      <c r="G100" s="1070"/>
      <c r="H100" s="1070"/>
      <c r="I100" s="1070"/>
      <c r="J100" s="1070"/>
    </row>
    <row r="101" spans="1:10" ht="21.75" customHeight="1" x14ac:dyDescent="0.35">
      <c r="A101" s="1070"/>
      <c r="B101" s="1070"/>
      <c r="C101" s="1070"/>
      <c r="D101" s="1070"/>
      <c r="E101" s="1070"/>
      <c r="F101" s="1070"/>
      <c r="G101" s="1070"/>
      <c r="H101" s="1070"/>
      <c r="I101" s="1070"/>
      <c r="J101" s="1070"/>
    </row>
    <row r="102" spans="1:10" ht="21.75" customHeight="1" x14ac:dyDescent="0.35">
      <c r="A102" s="1070"/>
      <c r="B102" s="1070"/>
      <c r="C102" s="1070"/>
      <c r="D102" s="1070"/>
      <c r="E102" s="1070"/>
      <c r="F102" s="1070"/>
      <c r="G102" s="1070"/>
      <c r="H102" s="1070"/>
      <c r="I102" s="1070"/>
      <c r="J102" s="1070"/>
    </row>
    <row r="103" spans="1:10" ht="21.75" customHeight="1" x14ac:dyDescent="0.35">
      <c r="A103" s="1070"/>
      <c r="B103" s="1070"/>
      <c r="C103" s="1070"/>
      <c r="D103" s="1070"/>
      <c r="E103" s="1070"/>
      <c r="F103" s="1070"/>
      <c r="G103" s="1070"/>
      <c r="H103" s="1070"/>
      <c r="I103" s="1070"/>
      <c r="J103" s="1070"/>
    </row>
    <row r="104" spans="1:10" ht="21.75" customHeight="1" x14ac:dyDescent="0.35">
      <c r="A104" s="1070"/>
      <c r="B104" s="1070"/>
      <c r="C104" s="1070"/>
      <c r="D104" s="1070"/>
      <c r="E104" s="1070"/>
      <c r="F104" s="1070"/>
      <c r="G104" s="1070"/>
      <c r="H104" s="1070"/>
      <c r="I104" s="1070"/>
      <c r="J104" s="1070"/>
    </row>
    <row r="105" spans="1:10" ht="21.75" customHeight="1" x14ac:dyDescent="0.35">
      <c r="A105" s="1070"/>
      <c r="B105" s="1070"/>
      <c r="C105" s="1070"/>
      <c r="D105" s="1070"/>
      <c r="E105" s="1070"/>
      <c r="F105" s="1070"/>
      <c r="G105" s="1070"/>
      <c r="H105" s="1070"/>
      <c r="I105" s="1070"/>
      <c r="J105" s="1070"/>
    </row>
    <row r="106" spans="1:10" ht="21.75" customHeight="1" x14ac:dyDescent="0.35">
      <c r="A106" s="1070"/>
      <c r="B106" s="1070"/>
      <c r="C106" s="1070"/>
      <c r="D106" s="1070"/>
      <c r="E106" s="1070"/>
      <c r="F106" s="1070"/>
      <c r="G106" s="1070"/>
      <c r="H106" s="1070"/>
      <c r="I106" s="1070"/>
      <c r="J106" s="1070"/>
    </row>
    <row r="107" spans="1:10" ht="21.75" customHeight="1" x14ac:dyDescent="0.35">
      <c r="A107" s="1070"/>
      <c r="B107" s="1070"/>
      <c r="C107" s="1070"/>
      <c r="D107" s="1070"/>
      <c r="E107" s="1070"/>
      <c r="F107" s="1070"/>
      <c r="G107" s="1070"/>
      <c r="H107" s="1070"/>
      <c r="I107" s="1070"/>
      <c r="J107" s="1070"/>
    </row>
    <row r="108" spans="1:10" ht="21.75" customHeight="1" x14ac:dyDescent="0.35">
      <c r="A108" s="1070"/>
      <c r="B108" s="1070"/>
      <c r="C108" s="1070"/>
      <c r="D108" s="1070"/>
      <c r="E108" s="1070"/>
      <c r="F108" s="1070"/>
      <c r="G108" s="1070"/>
      <c r="H108" s="1070"/>
      <c r="I108" s="1070"/>
      <c r="J108" s="1070"/>
    </row>
    <row r="109" spans="1:10" ht="21.75" customHeight="1" x14ac:dyDescent="0.35">
      <c r="A109" s="1070"/>
      <c r="B109" s="1070"/>
      <c r="C109" s="1070"/>
      <c r="D109" s="1070"/>
      <c r="E109" s="1070"/>
      <c r="F109" s="1070"/>
      <c r="G109" s="1070"/>
      <c r="H109" s="1070"/>
      <c r="I109" s="1070"/>
      <c r="J109" s="1070"/>
    </row>
    <row r="110" spans="1:10" ht="21.75" customHeight="1" x14ac:dyDescent="0.35">
      <c r="A110" s="1070"/>
      <c r="B110" s="1070"/>
      <c r="C110" s="1070"/>
      <c r="D110" s="1070"/>
      <c r="E110" s="1070"/>
      <c r="F110" s="1070"/>
      <c r="G110" s="1070"/>
      <c r="H110" s="1070"/>
      <c r="I110" s="1070"/>
      <c r="J110" s="1070"/>
    </row>
    <row r="111" spans="1:10" ht="21.75" customHeight="1" x14ac:dyDescent="0.35">
      <c r="A111" s="1070"/>
      <c r="B111" s="1070"/>
      <c r="C111" s="1070"/>
      <c r="D111" s="1070"/>
      <c r="E111" s="1070"/>
      <c r="F111" s="1070"/>
      <c r="G111" s="1070"/>
      <c r="H111" s="1070"/>
      <c r="I111" s="1070"/>
      <c r="J111" s="1070"/>
    </row>
    <row r="112" spans="1:10" ht="21.75" customHeight="1" x14ac:dyDescent="0.35">
      <c r="A112" s="1070"/>
      <c r="B112" s="1070"/>
      <c r="C112" s="1070"/>
      <c r="D112" s="1070"/>
      <c r="E112" s="1070"/>
      <c r="F112" s="1070"/>
      <c r="G112" s="1070"/>
      <c r="H112" s="1070"/>
      <c r="I112" s="1070"/>
      <c r="J112" s="1070"/>
    </row>
    <row r="113" spans="1:10" ht="21.75" customHeight="1" x14ac:dyDescent="0.35">
      <c r="A113" s="1070"/>
      <c r="B113" s="1070"/>
      <c r="C113" s="1070"/>
      <c r="D113" s="1070"/>
      <c r="E113" s="1070"/>
      <c r="F113" s="1070"/>
      <c r="G113" s="1070"/>
      <c r="H113" s="1070"/>
      <c r="I113" s="1070"/>
      <c r="J113" s="1070"/>
    </row>
    <row r="114" spans="1:10" x14ac:dyDescent="0.35">
      <c r="A114" s="1070"/>
      <c r="B114" s="1070"/>
      <c r="C114" s="1070"/>
      <c r="D114" s="1070"/>
      <c r="E114" s="1070"/>
      <c r="F114" s="1070"/>
      <c r="G114" s="1070"/>
      <c r="H114" s="1070"/>
      <c r="I114" s="1070"/>
      <c r="J114" s="1070"/>
    </row>
    <row r="115" spans="1:10" x14ac:dyDescent="0.35">
      <c r="A115" s="1070"/>
      <c r="B115" s="1070"/>
      <c r="C115" s="1070"/>
      <c r="D115" s="1070"/>
      <c r="E115" s="1070"/>
      <c r="F115" s="1070"/>
      <c r="G115" s="1070"/>
      <c r="H115" s="1070"/>
      <c r="I115" s="1070"/>
      <c r="J115" s="1070"/>
    </row>
    <row r="116" spans="1:10" x14ac:dyDescent="0.35">
      <c r="A116" s="1070"/>
      <c r="B116" s="1070"/>
      <c r="C116" s="1070"/>
      <c r="D116" s="1070"/>
      <c r="E116" s="1070"/>
      <c r="F116" s="1070"/>
      <c r="G116" s="1070"/>
      <c r="H116" s="1070"/>
      <c r="I116" s="1070"/>
      <c r="J116" s="1070"/>
    </row>
    <row r="117" spans="1:10" x14ac:dyDescent="0.35">
      <c r="A117" s="1070"/>
      <c r="B117" s="1070"/>
      <c r="C117" s="1070"/>
      <c r="D117" s="1070"/>
      <c r="E117" s="1070"/>
      <c r="F117" s="1070"/>
      <c r="G117" s="1070"/>
      <c r="H117" s="1070"/>
      <c r="I117" s="1070"/>
      <c r="J117" s="1070"/>
    </row>
    <row r="118" spans="1:10" x14ac:dyDescent="0.35">
      <c r="A118" s="1070"/>
      <c r="B118" s="1070"/>
      <c r="C118" s="1070"/>
      <c r="D118" s="1070"/>
      <c r="E118" s="1070"/>
      <c r="F118" s="1070"/>
      <c r="G118" s="1070"/>
      <c r="H118" s="1070"/>
      <c r="I118" s="1070"/>
      <c r="J118" s="1070"/>
    </row>
    <row r="119" spans="1:10" x14ac:dyDescent="0.35">
      <c r="A119" s="1070"/>
      <c r="B119" s="1070"/>
      <c r="C119" s="1070"/>
      <c r="D119" s="1070"/>
      <c r="E119" s="1070"/>
      <c r="F119" s="1070"/>
      <c r="G119" s="1070"/>
      <c r="H119" s="1070"/>
      <c r="I119" s="1070"/>
      <c r="J119" s="1070"/>
    </row>
  </sheetData>
  <phoneticPr fontId="27" type="noConversion"/>
  <pageMargins left="0.9" right="0.48" top="0.56999999999999995" bottom="0.8" header="0.19685039370078741" footer="0.44"/>
  <pageSetup paperSize="9" orientation="portrait" horizontalDpi="4294967293" verticalDpi="300" r:id="rId1"/>
  <headerFooter alignWithMargins="0">
    <oddFooter>&amp;R&amp;10งานก่อสร้างอาคาร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6"/>
  <sheetViews>
    <sheetView workbookViewId="0">
      <selection activeCell="H14" sqref="H14"/>
    </sheetView>
  </sheetViews>
  <sheetFormatPr defaultColWidth="9.125" defaultRowHeight="18" x14ac:dyDescent="0.35"/>
  <cols>
    <col min="1" max="1" width="4.75" style="829" customWidth="1"/>
    <col min="2" max="2" width="9.75" style="829" customWidth="1"/>
    <col min="3" max="3" width="8.75" style="829" customWidth="1"/>
    <col min="4" max="4" width="9.75" style="829" customWidth="1"/>
    <col min="5" max="5" width="8.75" style="829" customWidth="1"/>
    <col min="6" max="6" width="9.75" style="829" customWidth="1"/>
    <col min="7" max="7" width="12.75" style="829" customWidth="1"/>
    <col min="8" max="8" width="8.75" style="829" customWidth="1"/>
    <col min="9" max="9" width="9.75" style="829" customWidth="1"/>
    <col min="10" max="10" width="14.75" style="829" customWidth="1"/>
    <col min="11" max="11" width="11.125" style="829" hidden="1" customWidth="1"/>
    <col min="12" max="12" width="5.25" style="829" customWidth="1"/>
    <col min="13" max="13" width="7.75" style="829" customWidth="1"/>
    <col min="14" max="14" width="6.75" style="829" customWidth="1"/>
    <col min="15" max="15" width="10.75" style="829" customWidth="1"/>
    <col min="16" max="17" width="9.75" style="829" customWidth="1"/>
    <col min="18" max="18" width="6.75" style="829" customWidth="1"/>
    <col min="19" max="20" width="11.75" style="829" customWidth="1"/>
    <col min="21" max="21" width="8.75" style="829" customWidth="1"/>
    <col min="22" max="22" width="11.75" style="829" customWidth="1"/>
    <col min="23" max="23" width="5.75" style="829" customWidth="1"/>
    <col min="24" max="24" width="6.75" style="829" customWidth="1"/>
    <col min="25" max="25" width="8.75" style="829" customWidth="1"/>
    <col min="26" max="26" width="9.75" style="829" customWidth="1"/>
    <col min="27" max="27" width="10.75" style="829" customWidth="1"/>
    <col min="28" max="29" width="9.75" style="829" customWidth="1"/>
    <col min="30" max="30" width="10.75" style="829" customWidth="1"/>
    <col min="31" max="31" width="9.75" style="829" customWidth="1"/>
    <col min="32" max="32" width="8.75" style="829" customWidth="1"/>
    <col min="33" max="33" width="9.75" style="829" customWidth="1"/>
    <col min="34" max="34" width="6.75" style="829" customWidth="1"/>
    <col min="35" max="35" width="8.75" style="829" customWidth="1"/>
    <col min="36" max="39" width="15.75" style="829" customWidth="1"/>
    <col min="40" max="40" width="20.75" style="829" customWidth="1"/>
    <col min="41" max="41" width="13.75" style="829" customWidth="1"/>
    <col min="42" max="42" width="3.125" style="829" customWidth="1"/>
    <col min="43" max="43" width="6.75" style="829" customWidth="1"/>
    <col min="44" max="44" width="7.75" style="829" customWidth="1"/>
    <col min="45" max="51" width="9.75" style="829" customWidth="1"/>
    <col min="52" max="52" width="10.75" style="829" customWidth="1"/>
    <col min="53" max="53" width="8.25" style="829" customWidth="1"/>
    <col min="54" max="16384" width="9.125" style="829"/>
  </cols>
  <sheetData>
    <row r="1" spans="1:53" x14ac:dyDescent="0.35">
      <c r="A1" s="828" t="s">
        <v>212</v>
      </c>
      <c r="B1" s="828"/>
      <c r="C1" s="828"/>
      <c r="D1" s="828"/>
      <c r="E1" s="828"/>
      <c r="F1" s="828"/>
      <c r="G1" s="828"/>
      <c r="H1" s="828"/>
      <c r="I1" s="828"/>
      <c r="J1" s="828"/>
      <c r="L1" s="828" t="s">
        <v>213</v>
      </c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 t="s">
        <v>214</v>
      </c>
      <c r="X1" s="828"/>
      <c r="Y1" s="828"/>
      <c r="Z1" s="828"/>
      <c r="AA1" s="828"/>
      <c r="AB1" s="828"/>
      <c r="AC1" s="828"/>
      <c r="AD1" s="828"/>
      <c r="AE1" s="828"/>
      <c r="AF1" s="828"/>
      <c r="AG1" s="828"/>
      <c r="AH1" s="828" t="s">
        <v>215</v>
      </c>
      <c r="AI1" s="828"/>
      <c r="AJ1" s="828"/>
      <c r="AK1" s="828"/>
      <c r="AL1" s="828"/>
      <c r="AM1" s="828"/>
      <c r="AN1" s="828"/>
      <c r="AO1" s="830"/>
    </row>
    <row r="2" spans="1:53" ht="21.75" customHeight="1" x14ac:dyDescent="0.35">
      <c r="A2" s="830"/>
      <c r="B2" s="830"/>
      <c r="C2" s="830"/>
      <c r="D2" s="830"/>
      <c r="E2" s="830"/>
      <c r="F2" s="830"/>
      <c r="G2" s="830"/>
      <c r="H2" s="830"/>
      <c r="I2" s="830"/>
      <c r="J2" s="830"/>
      <c r="L2" s="831"/>
      <c r="M2" s="831"/>
      <c r="N2" s="831"/>
      <c r="O2" s="831"/>
      <c r="P2" s="831"/>
      <c r="Q2" s="831"/>
      <c r="R2" s="831"/>
      <c r="S2" s="831"/>
      <c r="T2" s="831"/>
      <c r="U2" s="831"/>
      <c r="V2" s="831"/>
      <c r="W2" s="831"/>
      <c r="X2" s="831"/>
      <c r="Y2" s="831"/>
      <c r="Z2" s="831"/>
      <c r="AA2" s="831"/>
      <c r="AB2" s="831"/>
      <c r="AC2" s="831"/>
      <c r="AD2" s="831"/>
      <c r="AE2" s="831"/>
      <c r="AF2" s="831"/>
      <c r="AG2" s="831"/>
    </row>
    <row r="3" spans="1:53" ht="24" customHeight="1" x14ac:dyDescent="0.4">
      <c r="A3" s="832" t="s">
        <v>96</v>
      </c>
      <c r="B3" s="832"/>
      <c r="C3" s="832"/>
      <c r="D3" s="832"/>
      <c r="E3" s="832"/>
      <c r="F3" s="832"/>
      <c r="G3" s="832"/>
      <c r="H3" s="832"/>
      <c r="I3" s="832"/>
      <c r="J3" s="832"/>
      <c r="K3" s="833"/>
      <c r="L3" s="834" t="s">
        <v>216</v>
      </c>
      <c r="M3" s="831"/>
      <c r="N3" s="831"/>
      <c r="O3" s="831"/>
      <c r="P3" s="831"/>
      <c r="Q3" s="831"/>
      <c r="R3" s="831"/>
      <c r="S3" s="831"/>
      <c r="T3" s="831"/>
      <c r="U3" s="831"/>
      <c r="V3" s="831"/>
      <c r="W3" s="835" t="s">
        <v>217</v>
      </c>
      <c r="AH3" s="835" t="s">
        <v>218</v>
      </c>
      <c r="BA3" s="836"/>
    </row>
    <row r="4" spans="1:53" ht="24" customHeight="1" x14ac:dyDescent="0.35">
      <c r="A4" s="830"/>
      <c r="B4" s="830"/>
      <c r="C4" s="830"/>
      <c r="D4" s="830"/>
      <c r="E4" s="830"/>
      <c r="F4" s="830"/>
      <c r="G4" s="830"/>
      <c r="H4" s="830"/>
      <c r="I4" s="830"/>
      <c r="J4" s="830"/>
      <c r="L4" s="831"/>
      <c r="M4" s="837" t="s">
        <v>219</v>
      </c>
      <c r="N4" s="837"/>
      <c r="O4" s="837"/>
      <c r="P4" s="837">
        <v>0.5</v>
      </c>
      <c r="Q4" s="837" t="s">
        <v>220</v>
      </c>
      <c r="R4" s="831"/>
      <c r="S4" s="838" t="s">
        <v>518</v>
      </c>
      <c r="T4" s="837">
        <f>E10</f>
        <v>6</v>
      </c>
      <c r="U4" s="839" t="s">
        <v>519</v>
      </c>
      <c r="V4" s="831"/>
      <c r="X4" s="840" t="s">
        <v>520</v>
      </c>
      <c r="Y4" s="840"/>
      <c r="Z4" s="840"/>
      <c r="AA4" s="840">
        <v>0.5</v>
      </c>
      <c r="AB4" s="841" t="s">
        <v>660</v>
      </c>
      <c r="AD4" s="842" t="s">
        <v>518</v>
      </c>
      <c r="AE4" s="843">
        <f>E10</f>
        <v>6</v>
      </c>
      <c r="AF4" s="844" t="s">
        <v>519</v>
      </c>
      <c r="AI4" s="829" t="s">
        <v>97</v>
      </c>
      <c r="BA4" s="845"/>
    </row>
    <row r="5" spans="1:53" ht="21.9" customHeight="1" x14ac:dyDescent="0.35">
      <c r="A5" s="846" t="s">
        <v>521</v>
      </c>
      <c r="B5" s="834"/>
      <c r="C5" s="833"/>
      <c r="D5" s="833"/>
      <c r="E5" s="833"/>
      <c r="F5" s="833"/>
      <c r="G5" s="833"/>
      <c r="H5" s="833"/>
      <c r="I5" s="833"/>
      <c r="J5" s="833"/>
      <c r="L5" s="847" t="s">
        <v>522</v>
      </c>
      <c r="M5" s="848" t="s">
        <v>523</v>
      </c>
      <c r="N5" s="849"/>
      <c r="O5" s="849"/>
      <c r="P5" s="850"/>
      <c r="Q5" s="847" t="s">
        <v>524</v>
      </c>
      <c r="R5" s="847" t="s">
        <v>525</v>
      </c>
      <c r="S5" s="851" t="s">
        <v>526</v>
      </c>
      <c r="T5" s="852"/>
      <c r="U5" s="851" t="s">
        <v>527</v>
      </c>
      <c r="V5" s="852"/>
      <c r="W5" s="847" t="s">
        <v>522</v>
      </c>
      <c r="X5" s="848" t="s">
        <v>523</v>
      </c>
      <c r="Y5" s="849"/>
      <c r="Z5" s="849"/>
      <c r="AA5" s="850"/>
      <c r="AB5" s="847" t="s">
        <v>524</v>
      </c>
      <c r="AC5" s="847" t="s">
        <v>525</v>
      </c>
      <c r="AD5" s="851" t="s">
        <v>528</v>
      </c>
      <c r="AE5" s="852"/>
      <c r="AF5" s="851" t="s">
        <v>529</v>
      </c>
      <c r="AG5" s="852"/>
      <c r="AI5" s="829" t="s">
        <v>530</v>
      </c>
      <c r="AM5" s="829">
        <v>0.25</v>
      </c>
      <c r="AN5" s="829" t="s">
        <v>531</v>
      </c>
      <c r="BA5" s="845"/>
    </row>
    <row r="6" spans="1:53" ht="21.9" customHeight="1" x14ac:dyDescent="0.35">
      <c r="A6" s="837" t="s">
        <v>532</v>
      </c>
      <c r="B6" s="853"/>
      <c r="C6" s="853"/>
      <c r="D6" s="853"/>
      <c r="E6" s="853"/>
      <c r="F6" s="853"/>
      <c r="G6" s="853"/>
      <c r="H6" s="831"/>
      <c r="I6" s="831"/>
      <c r="J6" s="831"/>
      <c r="L6" s="854"/>
      <c r="M6" s="855"/>
      <c r="N6" s="856"/>
      <c r="O6" s="856"/>
      <c r="P6" s="857"/>
      <c r="Q6" s="854"/>
      <c r="R6" s="854"/>
      <c r="S6" s="858" t="s">
        <v>533</v>
      </c>
      <c r="T6" s="859"/>
      <c r="U6" s="858" t="s">
        <v>732</v>
      </c>
      <c r="V6" s="859"/>
      <c r="W6" s="854"/>
      <c r="X6" s="855"/>
      <c r="Y6" s="856"/>
      <c r="Z6" s="856"/>
      <c r="AA6" s="857"/>
      <c r="AB6" s="854"/>
      <c r="AC6" s="854"/>
      <c r="AD6" s="858" t="s">
        <v>733</v>
      </c>
      <c r="AE6" s="859"/>
      <c r="AF6" s="858" t="s">
        <v>732</v>
      </c>
      <c r="AG6" s="859"/>
      <c r="AI6" s="829" t="s">
        <v>734</v>
      </c>
    </row>
    <row r="7" spans="1:53" ht="21.9" customHeight="1" x14ac:dyDescent="0.35">
      <c r="A7" s="831" t="s">
        <v>735</v>
      </c>
      <c r="B7" s="831"/>
      <c r="C7" s="831">
        <v>5</v>
      </c>
      <c r="D7" s="831" t="s">
        <v>736</v>
      </c>
      <c r="E7" s="831"/>
      <c r="F7" s="831" t="s">
        <v>737</v>
      </c>
      <c r="G7" s="853"/>
      <c r="H7" s="831">
        <v>2.5</v>
      </c>
      <c r="I7" s="831" t="s">
        <v>738</v>
      </c>
      <c r="J7" s="831"/>
      <c r="L7" s="860">
        <v>1</v>
      </c>
      <c r="M7" s="861" t="s">
        <v>739</v>
      </c>
      <c r="N7" s="862"/>
      <c r="O7" s="862"/>
      <c r="P7" s="863"/>
      <c r="Q7" s="864"/>
      <c r="R7" s="864"/>
      <c r="S7" s="865"/>
      <c r="T7" s="863"/>
      <c r="U7" s="865"/>
      <c r="V7" s="863"/>
      <c r="W7" s="866">
        <v>1</v>
      </c>
      <c r="X7" s="867" t="s">
        <v>740</v>
      </c>
      <c r="Y7" s="845"/>
      <c r="Z7" s="845"/>
      <c r="AA7" s="868"/>
      <c r="AB7" s="869"/>
      <c r="AC7" s="869"/>
      <c r="AD7" s="870"/>
      <c r="AE7" s="871"/>
      <c r="AF7" s="870"/>
      <c r="AG7" s="872" t="s">
        <v>741</v>
      </c>
      <c r="AI7" s="829" t="s">
        <v>742</v>
      </c>
      <c r="AM7" s="829">
        <v>0.05</v>
      </c>
      <c r="AN7" s="829" t="s">
        <v>531</v>
      </c>
    </row>
    <row r="8" spans="1:53" ht="21.9" customHeight="1" x14ac:dyDescent="0.35">
      <c r="A8" s="873" t="s">
        <v>743</v>
      </c>
      <c r="B8" s="874"/>
      <c r="C8" s="873" t="s">
        <v>744</v>
      </c>
      <c r="D8" s="874"/>
      <c r="E8" s="875" t="s">
        <v>518</v>
      </c>
      <c r="F8" s="873" t="s">
        <v>745</v>
      </c>
      <c r="G8" s="874"/>
      <c r="H8" s="873" t="s">
        <v>746</v>
      </c>
      <c r="I8" s="876"/>
      <c r="J8" s="874"/>
      <c r="L8" s="877">
        <v>1.1000000000000001</v>
      </c>
      <c r="M8" s="878" t="s">
        <v>1437</v>
      </c>
      <c r="N8" s="879"/>
      <c r="O8" s="879"/>
      <c r="P8" s="880"/>
      <c r="Q8" s="877" t="s">
        <v>747</v>
      </c>
      <c r="R8" s="877">
        <v>1</v>
      </c>
      <c r="S8" s="878"/>
      <c r="T8" s="881">
        <v>0.32850000000000001</v>
      </c>
      <c r="U8" s="878"/>
      <c r="V8" s="882">
        <f t="shared" ref="V8:V18" si="0">((($P$4*1000000)*T8)/100)/$T$4</f>
        <v>273.75</v>
      </c>
      <c r="W8" s="869">
        <v>1.1000000000000001</v>
      </c>
      <c r="X8" s="870" t="s">
        <v>748</v>
      </c>
      <c r="Y8" s="883"/>
      <c r="Z8" s="883"/>
      <c r="AA8" s="884"/>
      <c r="AB8" s="869" t="s">
        <v>749</v>
      </c>
      <c r="AC8" s="869">
        <v>0</v>
      </c>
      <c r="AD8" s="870"/>
      <c r="AE8" s="885">
        <v>0</v>
      </c>
      <c r="AF8" s="870"/>
      <c r="AG8" s="871">
        <f t="shared" ref="AG8:AG16" si="1">(AC8*AE8)</f>
        <v>0</v>
      </c>
      <c r="AI8" s="886" t="s">
        <v>750</v>
      </c>
      <c r="AJ8" s="887"/>
      <c r="AK8" s="887"/>
      <c r="AL8" s="887"/>
      <c r="AM8" s="886">
        <v>0.3</v>
      </c>
      <c r="AN8" s="886" t="s">
        <v>531</v>
      </c>
    </row>
    <row r="9" spans="1:53" ht="21.9" customHeight="1" x14ac:dyDescent="0.35">
      <c r="A9" s="888" t="s">
        <v>660</v>
      </c>
      <c r="B9" s="889"/>
      <c r="C9" s="888" t="s">
        <v>660</v>
      </c>
      <c r="D9" s="889"/>
      <c r="E9" s="890" t="s">
        <v>519</v>
      </c>
      <c r="F9" s="888" t="s">
        <v>751</v>
      </c>
      <c r="G9" s="889"/>
      <c r="H9" s="888" t="s">
        <v>650</v>
      </c>
      <c r="I9" s="891"/>
      <c r="J9" s="889"/>
      <c r="L9" s="877">
        <v>1.2</v>
      </c>
      <c r="M9" s="878" t="s">
        <v>752</v>
      </c>
      <c r="N9" s="879"/>
      <c r="O9" s="879"/>
      <c r="P9" s="880"/>
      <c r="Q9" s="877" t="s">
        <v>747</v>
      </c>
      <c r="R9" s="877">
        <v>1</v>
      </c>
      <c r="S9" s="878"/>
      <c r="T9" s="881">
        <v>0.85729999999999995</v>
      </c>
      <c r="U9" s="878"/>
      <c r="V9" s="882">
        <f t="shared" si="0"/>
        <v>714.41666666666663</v>
      </c>
      <c r="W9" s="869">
        <v>1.2</v>
      </c>
      <c r="X9" s="870" t="s">
        <v>753</v>
      </c>
      <c r="Y9" s="883"/>
      <c r="Z9" s="883"/>
      <c r="AA9" s="884"/>
      <c r="AB9" s="869" t="s">
        <v>749</v>
      </c>
      <c r="AC9" s="869">
        <v>0</v>
      </c>
      <c r="AD9" s="870"/>
      <c r="AE9" s="871">
        <v>0</v>
      </c>
      <c r="AF9" s="870"/>
      <c r="AG9" s="871">
        <f t="shared" si="1"/>
        <v>0</v>
      </c>
    </row>
    <row r="10" spans="1:53" ht="21.9" customHeight="1" x14ac:dyDescent="0.35">
      <c r="A10" s="892" t="s">
        <v>267</v>
      </c>
      <c r="B10" s="830">
        <f>'FACTOR F'!B11</f>
        <v>0.5</v>
      </c>
      <c r="C10" s="893"/>
      <c r="D10" s="894">
        <f t="shared" ref="D10:D33" si="2">ROUND((B10*$C$7)/100,4)</f>
        <v>2.5000000000000001E-2</v>
      </c>
      <c r="E10" s="830">
        <v>6</v>
      </c>
      <c r="F10" s="893"/>
      <c r="G10" s="895">
        <f>(((D10*1000000)*$H$7/100)*E10/12)</f>
        <v>312.5</v>
      </c>
      <c r="H10" s="896"/>
      <c r="I10" s="831"/>
      <c r="J10" s="897">
        <f t="shared" ref="J10:J33" si="3">ROUND((G10*100)/(B10*1000000),4)</f>
        <v>6.25E-2</v>
      </c>
      <c r="L10" s="877">
        <v>1.3</v>
      </c>
      <c r="M10" s="878" t="s">
        <v>754</v>
      </c>
      <c r="N10" s="879"/>
      <c r="O10" s="879"/>
      <c r="P10" s="880"/>
      <c r="Q10" s="877" t="s">
        <v>747</v>
      </c>
      <c r="R10" s="898">
        <v>1</v>
      </c>
      <c r="S10" s="878"/>
      <c r="T10" s="881">
        <v>0.01</v>
      </c>
      <c r="U10" s="878"/>
      <c r="V10" s="882">
        <f t="shared" si="0"/>
        <v>8.3333333333333339</v>
      </c>
      <c r="W10" s="869">
        <v>1.3</v>
      </c>
      <c r="X10" s="870" t="s">
        <v>755</v>
      </c>
      <c r="Y10" s="883"/>
      <c r="Z10" s="883"/>
      <c r="AA10" s="884"/>
      <c r="AB10" s="869" t="s">
        <v>749</v>
      </c>
      <c r="AC10" s="869">
        <v>0</v>
      </c>
      <c r="AD10" s="870"/>
      <c r="AE10" s="871">
        <v>0</v>
      </c>
      <c r="AF10" s="870"/>
      <c r="AG10" s="871">
        <f t="shared" si="1"/>
        <v>0</v>
      </c>
    </row>
    <row r="11" spans="1:53" ht="21.9" customHeight="1" x14ac:dyDescent="0.35">
      <c r="A11" s="870"/>
      <c r="B11" s="830">
        <f>'FACTOR F'!B12</f>
        <v>1</v>
      </c>
      <c r="C11" s="870"/>
      <c r="D11" s="899">
        <f t="shared" si="2"/>
        <v>0.05</v>
      </c>
      <c r="E11" s="830">
        <v>6</v>
      </c>
      <c r="F11" s="870"/>
      <c r="G11" s="872">
        <f t="shared" ref="G11:G33" si="4">(D11*1000000)*($H$7/100)*(E11/12)</f>
        <v>625</v>
      </c>
      <c r="H11" s="883"/>
      <c r="I11" s="831"/>
      <c r="J11" s="897">
        <f t="shared" si="3"/>
        <v>6.25E-2</v>
      </c>
      <c r="L11" s="877">
        <v>1.4</v>
      </c>
      <c r="M11" s="878" t="s">
        <v>453</v>
      </c>
      <c r="N11" s="879"/>
      <c r="O11" s="879"/>
      <c r="P11" s="880"/>
      <c r="Q11" s="877" t="s">
        <v>747</v>
      </c>
      <c r="R11" s="877">
        <v>1</v>
      </c>
      <c r="S11" s="878"/>
      <c r="T11" s="881">
        <v>0.34320000000000001</v>
      </c>
      <c r="U11" s="878"/>
      <c r="V11" s="882">
        <f t="shared" si="0"/>
        <v>286</v>
      </c>
      <c r="W11" s="869">
        <v>1.4</v>
      </c>
      <c r="X11" s="870" t="s">
        <v>454</v>
      </c>
      <c r="Y11" s="883"/>
      <c r="Z11" s="883"/>
      <c r="AA11" s="884"/>
      <c r="AB11" s="869" t="s">
        <v>749</v>
      </c>
      <c r="AC11" s="869">
        <v>0</v>
      </c>
      <c r="AD11" s="870"/>
      <c r="AE11" s="871">
        <v>0</v>
      </c>
      <c r="AF11" s="870"/>
      <c r="AG11" s="871">
        <f t="shared" si="1"/>
        <v>0</v>
      </c>
    </row>
    <row r="12" spans="1:53" ht="21.9" customHeight="1" x14ac:dyDescent="0.35">
      <c r="A12" s="870"/>
      <c r="B12" s="830">
        <f>'FACTOR F'!B13</f>
        <v>2</v>
      </c>
      <c r="C12" s="870"/>
      <c r="D12" s="899">
        <f t="shared" si="2"/>
        <v>0.1</v>
      </c>
      <c r="E12" s="830">
        <v>9</v>
      </c>
      <c r="F12" s="870"/>
      <c r="G12" s="872">
        <f t="shared" si="4"/>
        <v>1875</v>
      </c>
      <c r="H12" s="883"/>
      <c r="I12" s="831"/>
      <c r="J12" s="897">
        <f t="shared" si="3"/>
        <v>9.3799999999999994E-2</v>
      </c>
      <c r="L12" s="900">
        <v>2</v>
      </c>
      <c r="M12" s="901" t="s">
        <v>455</v>
      </c>
      <c r="N12" s="879"/>
      <c r="O12" s="879"/>
      <c r="P12" s="880"/>
      <c r="Q12" s="877"/>
      <c r="R12" s="877"/>
      <c r="S12" s="878"/>
      <c r="T12" s="882">
        <v>0</v>
      </c>
      <c r="U12" s="878"/>
      <c r="V12" s="882">
        <f t="shared" si="0"/>
        <v>0</v>
      </c>
      <c r="W12" s="869">
        <v>1.5</v>
      </c>
      <c r="X12" s="870" t="s">
        <v>456</v>
      </c>
      <c r="Y12" s="883"/>
      <c r="Z12" s="883"/>
      <c r="AA12" s="884"/>
      <c r="AB12" s="869" t="s">
        <v>749</v>
      </c>
      <c r="AC12" s="869">
        <v>1</v>
      </c>
      <c r="AD12" s="870"/>
      <c r="AE12" s="902">
        <v>8000</v>
      </c>
      <c r="AF12" s="870"/>
      <c r="AG12" s="902">
        <f t="shared" si="1"/>
        <v>8000</v>
      </c>
    </row>
    <row r="13" spans="1:53" ht="21.9" customHeight="1" x14ac:dyDescent="0.35">
      <c r="A13" s="870"/>
      <c r="B13" s="830">
        <f>'FACTOR F'!B14</f>
        <v>5</v>
      </c>
      <c r="C13" s="870"/>
      <c r="D13" s="899">
        <f t="shared" si="2"/>
        <v>0.25</v>
      </c>
      <c r="E13" s="830">
        <v>12</v>
      </c>
      <c r="F13" s="870"/>
      <c r="G13" s="872">
        <f t="shared" si="4"/>
        <v>6250</v>
      </c>
      <c r="H13" s="883"/>
      <c r="I13" s="831"/>
      <c r="J13" s="897">
        <f t="shared" si="3"/>
        <v>0.125</v>
      </c>
      <c r="L13" s="877">
        <v>2.1</v>
      </c>
      <c r="M13" s="878" t="s">
        <v>457</v>
      </c>
      <c r="N13" s="879"/>
      <c r="O13" s="879"/>
      <c r="P13" s="880"/>
      <c r="Q13" s="877" t="s">
        <v>747</v>
      </c>
      <c r="R13" s="877">
        <v>1</v>
      </c>
      <c r="S13" s="878"/>
      <c r="T13" s="881">
        <v>3.1983000000000001</v>
      </c>
      <c r="U13" s="878"/>
      <c r="V13" s="882">
        <f t="shared" si="0"/>
        <v>2665.25</v>
      </c>
      <c r="W13" s="869">
        <v>1.6</v>
      </c>
      <c r="X13" s="870" t="s">
        <v>458</v>
      </c>
      <c r="Y13" s="883"/>
      <c r="Z13" s="883"/>
      <c r="AA13" s="884"/>
      <c r="AB13" s="869" t="s">
        <v>749</v>
      </c>
      <c r="AC13" s="869">
        <v>0</v>
      </c>
      <c r="AD13" s="870"/>
      <c r="AE13" s="902">
        <v>0</v>
      </c>
      <c r="AF13" s="870"/>
      <c r="AG13" s="902">
        <f t="shared" si="1"/>
        <v>0</v>
      </c>
    </row>
    <row r="14" spans="1:53" ht="21.9" customHeight="1" x14ac:dyDescent="0.35">
      <c r="A14" s="870"/>
      <c r="B14" s="830">
        <f>'FACTOR F'!B15</f>
        <v>10</v>
      </c>
      <c r="C14" s="870"/>
      <c r="D14" s="899">
        <f t="shared" si="2"/>
        <v>0.5</v>
      </c>
      <c r="E14" s="830">
        <v>15</v>
      </c>
      <c r="F14" s="870"/>
      <c r="G14" s="872">
        <f t="shared" si="4"/>
        <v>15625</v>
      </c>
      <c r="H14" s="883"/>
      <c r="I14" s="831"/>
      <c r="J14" s="897">
        <f t="shared" si="3"/>
        <v>0.15629999999999999</v>
      </c>
      <c r="L14" s="877">
        <v>2.2000000000000002</v>
      </c>
      <c r="M14" s="878" t="s">
        <v>459</v>
      </c>
      <c r="N14" s="879"/>
      <c r="O14" s="879"/>
      <c r="P14" s="880"/>
      <c r="Q14" s="877" t="s">
        <v>747</v>
      </c>
      <c r="R14" s="877">
        <v>1</v>
      </c>
      <c r="S14" s="878"/>
      <c r="T14" s="881">
        <v>2.1528</v>
      </c>
      <c r="U14" s="878"/>
      <c r="V14" s="882">
        <f t="shared" si="0"/>
        <v>1794</v>
      </c>
      <c r="W14" s="869">
        <v>1.7</v>
      </c>
      <c r="X14" s="870" t="s">
        <v>460</v>
      </c>
      <c r="Y14" s="883"/>
      <c r="Z14" s="883"/>
      <c r="AA14" s="884"/>
      <c r="AB14" s="869" t="s">
        <v>749</v>
      </c>
      <c r="AC14" s="869">
        <v>0</v>
      </c>
      <c r="AD14" s="870"/>
      <c r="AE14" s="871">
        <v>0</v>
      </c>
      <c r="AF14" s="870"/>
      <c r="AG14" s="871">
        <f t="shared" si="1"/>
        <v>0</v>
      </c>
    </row>
    <row r="15" spans="1:53" ht="21.9" customHeight="1" x14ac:dyDescent="0.35">
      <c r="A15" s="870"/>
      <c r="B15" s="830">
        <f>'FACTOR F'!B16</f>
        <v>15</v>
      </c>
      <c r="C15" s="870"/>
      <c r="D15" s="899">
        <f t="shared" si="2"/>
        <v>0.75</v>
      </c>
      <c r="E15" s="830">
        <v>15</v>
      </c>
      <c r="F15" s="870"/>
      <c r="G15" s="872">
        <f t="shared" si="4"/>
        <v>23437.5</v>
      </c>
      <c r="H15" s="883"/>
      <c r="I15" s="831"/>
      <c r="J15" s="897">
        <f t="shared" si="3"/>
        <v>0.15629999999999999</v>
      </c>
      <c r="L15" s="877">
        <v>2.2999999999999998</v>
      </c>
      <c r="M15" s="878" t="s">
        <v>461</v>
      </c>
      <c r="N15" s="879"/>
      <c r="O15" s="879"/>
      <c r="P15" s="880"/>
      <c r="Q15" s="877" t="s">
        <v>747</v>
      </c>
      <c r="R15" s="877">
        <v>1</v>
      </c>
      <c r="S15" s="878"/>
      <c r="T15" s="881">
        <v>2.4299999999999999E-2</v>
      </c>
      <c r="U15" s="878"/>
      <c r="V15" s="882">
        <f t="shared" si="0"/>
        <v>20.25</v>
      </c>
      <c r="W15" s="869">
        <v>1.8</v>
      </c>
      <c r="X15" s="870" t="s">
        <v>462</v>
      </c>
      <c r="Y15" s="845"/>
      <c r="Z15" s="845"/>
      <c r="AA15" s="868"/>
      <c r="AB15" s="869" t="s">
        <v>749</v>
      </c>
      <c r="AC15" s="869">
        <v>0</v>
      </c>
      <c r="AD15" s="870"/>
      <c r="AE15" s="871">
        <v>0</v>
      </c>
      <c r="AF15" s="870"/>
      <c r="AG15" s="871">
        <f t="shared" si="1"/>
        <v>0</v>
      </c>
    </row>
    <row r="16" spans="1:53" ht="21.9" customHeight="1" x14ac:dyDescent="0.35">
      <c r="A16" s="870"/>
      <c r="B16" s="830">
        <f>'FACTOR F'!B17</f>
        <v>20</v>
      </c>
      <c r="C16" s="870"/>
      <c r="D16" s="899">
        <f t="shared" si="2"/>
        <v>1</v>
      </c>
      <c r="E16" s="830">
        <v>16</v>
      </c>
      <c r="F16" s="870"/>
      <c r="G16" s="872">
        <f t="shared" si="4"/>
        <v>33333.333333333328</v>
      </c>
      <c r="H16" s="883"/>
      <c r="I16" s="831"/>
      <c r="J16" s="897">
        <f t="shared" si="3"/>
        <v>0.16669999999999999</v>
      </c>
      <c r="L16" s="877">
        <v>2.4</v>
      </c>
      <c r="M16" s="878" t="s">
        <v>463</v>
      </c>
      <c r="N16" s="879"/>
      <c r="O16" s="879"/>
      <c r="P16" s="880"/>
      <c r="Q16" s="877" t="s">
        <v>747</v>
      </c>
      <c r="R16" s="877">
        <v>1</v>
      </c>
      <c r="S16" s="878"/>
      <c r="T16" s="881">
        <v>0.23130000000000001</v>
      </c>
      <c r="U16" s="878"/>
      <c r="V16" s="882">
        <f t="shared" si="0"/>
        <v>192.75</v>
      </c>
      <c r="W16" s="869">
        <v>1.9</v>
      </c>
      <c r="X16" s="870" t="s">
        <v>464</v>
      </c>
      <c r="Y16" s="883"/>
      <c r="Z16" s="883"/>
      <c r="AA16" s="884"/>
      <c r="AB16" s="869" t="s">
        <v>749</v>
      </c>
      <c r="AC16" s="869">
        <v>0</v>
      </c>
      <c r="AD16" s="870"/>
      <c r="AE16" s="871">
        <v>0</v>
      </c>
      <c r="AF16" s="870"/>
      <c r="AG16" s="871">
        <f t="shared" si="1"/>
        <v>0</v>
      </c>
    </row>
    <row r="17" spans="1:33" ht="21.9" customHeight="1" x14ac:dyDescent="0.35">
      <c r="A17" s="870"/>
      <c r="B17" s="830">
        <f>'FACTOR F'!B18</f>
        <v>25</v>
      </c>
      <c r="C17" s="870"/>
      <c r="D17" s="899">
        <f t="shared" si="2"/>
        <v>1.25</v>
      </c>
      <c r="E17" s="830">
        <v>16</v>
      </c>
      <c r="F17" s="870"/>
      <c r="G17" s="872">
        <f t="shared" si="4"/>
        <v>41666.666666666664</v>
      </c>
      <c r="H17" s="883"/>
      <c r="I17" s="831"/>
      <c r="J17" s="897">
        <f t="shared" si="3"/>
        <v>0.16669999999999999</v>
      </c>
      <c r="L17" s="877" t="s">
        <v>741</v>
      </c>
      <c r="M17" s="878" t="s">
        <v>741</v>
      </c>
      <c r="N17" s="879"/>
      <c r="O17" s="879"/>
      <c r="P17" s="880"/>
      <c r="Q17" s="877" t="s">
        <v>741</v>
      </c>
      <c r="R17" s="877" t="s">
        <v>741</v>
      </c>
      <c r="S17" s="878"/>
      <c r="T17" s="882">
        <v>0</v>
      </c>
      <c r="U17" s="878" t="s">
        <v>741</v>
      </c>
      <c r="V17" s="882">
        <f t="shared" si="0"/>
        <v>0</v>
      </c>
      <c r="W17" s="869" t="s">
        <v>741</v>
      </c>
      <c r="X17" s="870" t="s">
        <v>741</v>
      </c>
      <c r="Y17" s="883"/>
      <c r="Z17" s="883"/>
      <c r="AA17" s="884"/>
      <c r="AB17" s="869" t="s">
        <v>741</v>
      </c>
      <c r="AC17" s="869" t="s">
        <v>741</v>
      </c>
      <c r="AD17" s="870"/>
      <c r="AE17" s="884"/>
      <c r="AF17" s="870"/>
      <c r="AG17" s="884"/>
    </row>
    <row r="18" spans="1:33" ht="21.9" customHeight="1" x14ac:dyDescent="0.35">
      <c r="A18" s="870"/>
      <c r="B18" s="830">
        <f>'FACTOR F'!B19</f>
        <v>30</v>
      </c>
      <c r="C18" s="870"/>
      <c r="D18" s="899">
        <f t="shared" si="2"/>
        <v>1.5</v>
      </c>
      <c r="E18" s="830">
        <v>17</v>
      </c>
      <c r="F18" s="870"/>
      <c r="G18" s="872">
        <f t="shared" si="4"/>
        <v>53125</v>
      </c>
      <c r="H18" s="883"/>
      <c r="I18" s="831"/>
      <c r="J18" s="897">
        <f t="shared" si="3"/>
        <v>0.17710000000000001</v>
      </c>
      <c r="L18" s="877" t="s">
        <v>741</v>
      </c>
      <c r="M18" s="878" t="s">
        <v>741</v>
      </c>
      <c r="N18" s="879"/>
      <c r="O18" s="879"/>
      <c r="P18" s="880"/>
      <c r="Q18" s="877" t="s">
        <v>741</v>
      </c>
      <c r="R18" s="877" t="s">
        <v>741</v>
      </c>
      <c r="S18" s="878"/>
      <c r="T18" s="882">
        <v>0</v>
      </c>
      <c r="U18" s="878" t="s">
        <v>741</v>
      </c>
      <c r="V18" s="882">
        <f t="shared" si="0"/>
        <v>0</v>
      </c>
      <c r="W18" s="869" t="s">
        <v>741</v>
      </c>
      <c r="X18" s="870" t="s">
        <v>741</v>
      </c>
      <c r="Y18" s="883"/>
      <c r="Z18" s="883"/>
      <c r="AA18" s="884"/>
      <c r="AB18" s="869" t="s">
        <v>741</v>
      </c>
      <c r="AC18" s="869" t="s">
        <v>741</v>
      </c>
      <c r="AD18" s="870"/>
      <c r="AE18" s="884"/>
      <c r="AF18" s="870"/>
      <c r="AG18" s="884"/>
    </row>
    <row r="19" spans="1:33" ht="21.9" customHeight="1" x14ac:dyDescent="0.35">
      <c r="A19" s="870"/>
      <c r="B19" s="830">
        <f>'FACTOR F'!B20</f>
        <v>40</v>
      </c>
      <c r="C19" s="870"/>
      <c r="D19" s="899">
        <f t="shared" si="2"/>
        <v>2</v>
      </c>
      <c r="E19" s="830">
        <v>17</v>
      </c>
      <c r="F19" s="870"/>
      <c r="G19" s="872">
        <f t="shared" si="4"/>
        <v>70833.333333333343</v>
      </c>
      <c r="H19" s="883"/>
      <c r="I19" s="831"/>
      <c r="J19" s="897">
        <f t="shared" si="3"/>
        <v>0.17710000000000001</v>
      </c>
      <c r="L19" s="903" t="s">
        <v>260</v>
      </c>
      <c r="M19" s="904"/>
      <c r="N19" s="904"/>
      <c r="O19" s="904"/>
      <c r="P19" s="904"/>
      <c r="Q19" s="904"/>
      <c r="R19" s="904"/>
      <c r="S19" s="904"/>
      <c r="T19" s="905"/>
      <c r="U19" s="906"/>
      <c r="V19" s="907">
        <f>SUM(V8:V18)</f>
        <v>5954.75</v>
      </c>
      <c r="W19" s="908" t="s">
        <v>465</v>
      </c>
      <c r="X19" s="909"/>
      <c r="Y19" s="909"/>
      <c r="Z19" s="909"/>
      <c r="AA19" s="909"/>
      <c r="AB19" s="909"/>
      <c r="AC19" s="909"/>
      <c r="AD19" s="909"/>
      <c r="AE19" s="910"/>
      <c r="AF19" s="911"/>
      <c r="AG19" s="912">
        <f>SUM(AG8:AG18)/2</f>
        <v>4000</v>
      </c>
    </row>
    <row r="20" spans="1:33" ht="21.9" customHeight="1" x14ac:dyDescent="0.35">
      <c r="A20" s="870"/>
      <c r="B20" s="830">
        <f>'FACTOR F'!B21</f>
        <v>50</v>
      </c>
      <c r="C20" s="870"/>
      <c r="D20" s="899">
        <f t="shared" si="2"/>
        <v>2.5</v>
      </c>
      <c r="E20" s="830">
        <v>18</v>
      </c>
      <c r="F20" s="870"/>
      <c r="G20" s="872">
        <f t="shared" si="4"/>
        <v>93750</v>
      </c>
      <c r="H20" s="883"/>
      <c r="I20" s="831"/>
      <c r="J20" s="897">
        <f t="shared" si="3"/>
        <v>0.1875</v>
      </c>
      <c r="L20" s="831"/>
      <c r="M20" s="831"/>
      <c r="N20" s="831"/>
      <c r="O20" s="831"/>
      <c r="P20" s="831"/>
      <c r="Q20" s="831"/>
      <c r="R20" s="831"/>
      <c r="S20" s="831"/>
      <c r="T20" s="831"/>
      <c r="U20" s="831"/>
      <c r="V20" s="831"/>
    </row>
    <row r="21" spans="1:33" ht="21.9" customHeight="1" x14ac:dyDescent="0.35">
      <c r="A21" s="870"/>
      <c r="B21" s="830">
        <f>'FACTOR F'!B22</f>
        <v>60</v>
      </c>
      <c r="C21" s="870"/>
      <c r="D21" s="899">
        <f t="shared" si="2"/>
        <v>3</v>
      </c>
      <c r="E21" s="830">
        <v>18</v>
      </c>
      <c r="F21" s="870"/>
      <c r="G21" s="872">
        <f t="shared" si="4"/>
        <v>112500</v>
      </c>
      <c r="H21" s="883"/>
      <c r="I21" s="831"/>
      <c r="J21" s="897">
        <f t="shared" si="3"/>
        <v>0.1875</v>
      </c>
      <c r="L21" s="831"/>
      <c r="M21" s="837" t="s">
        <v>466</v>
      </c>
      <c r="N21" s="837"/>
      <c r="O21" s="837"/>
      <c r="P21" s="837">
        <v>1</v>
      </c>
      <c r="Q21" s="837" t="s">
        <v>660</v>
      </c>
      <c r="R21" s="831"/>
      <c r="S21" s="838" t="s">
        <v>518</v>
      </c>
      <c r="T21" s="837">
        <f>E11</f>
        <v>6</v>
      </c>
      <c r="U21" s="839" t="s">
        <v>519</v>
      </c>
      <c r="V21" s="831"/>
      <c r="X21" s="840" t="s">
        <v>467</v>
      </c>
      <c r="Y21" s="840"/>
      <c r="Z21" s="840"/>
      <c r="AA21" s="840">
        <v>1</v>
      </c>
      <c r="AB21" s="841" t="s">
        <v>660</v>
      </c>
      <c r="AD21" s="842" t="s">
        <v>518</v>
      </c>
      <c r="AE21" s="843">
        <f>E11</f>
        <v>6</v>
      </c>
      <c r="AF21" s="844" t="s">
        <v>519</v>
      </c>
    </row>
    <row r="22" spans="1:33" ht="21.9" customHeight="1" x14ac:dyDescent="0.35">
      <c r="A22" s="870"/>
      <c r="B22" s="830">
        <f>'FACTOR F'!B23</f>
        <v>70</v>
      </c>
      <c r="C22" s="870"/>
      <c r="D22" s="899">
        <f t="shared" si="2"/>
        <v>3.5</v>
      </c>
      <c r="E22" s="830">
        <v>20</v>
      </c>
      <c r="F22" s="870"/>
      <c r="G22" s="872">
        <f t="shared" si="4"/>
        <v>145833.33333333334</v>
      </c>
      <c r="H22" s="883"/>
      <c r="I22" s="831"/>
      <c r="J22" s="897">
        <f t="shared" si="3"/>
        <v>0.20830000000000001</v>
      </c>
      <c r="L22" s="847" t="s">
        <v>522</v>
      </c>
      <c r="M22" s="848" t="s">
        <v>523</v>
      </c>
      <c r="N22" s="849"/>
      <c r="O22" s="849"/>
      <c r="P22" s="850"/>
      <c r="Q22" s="847" t="s">
        <v>524</v>
      </c>
      <c r="R22" s="847" t="s">
        <v>525</v>
      </c>
      <c r="S22" s="851" t="s">
        <v>526</v>
      </c>
      <c r="T22" s="852"/>
      <c r="U22" s="851" t="s">
        <v>527</v>
      </c>
      <c r="V22" s="852"/>
      <c r="W22" s="847" t="s">
        <v>522</v>
      </c>
      <c r="X22" s="848" t="s">
        <v>523</v>
      </c>
      <c r="Y22" s="849"/>
      <c r="Z22" s="849"/>
      <c r="AA22" s="850"/>
      <c r="AB22" s="847" t="s">
        <v>524</v>
      </c>
      <c r="AC22" s="847" t="s">
        <v>525</v>
      </c>
      <c r="AD22" s="851" t="s">
        <v>528</v>
      </c>
      <c r="AE22" s="852"/>
      <c r="AF22" s="913" t="s">
        <v>529</v>
      </c>
      <c r="AG22" s="914"/>
    </row>
    <row r="23" spans="1:33" ht="21.9" customHeight="1" x14ac:dyDescent="0.35">
      <c r="A23" s="870"/>
      <c r="B23" s="830">
        <f>'FACTOR F'!B24</f>
        <v>80</v>
      </c>
      <c r="C23" s="870"/>
      <c r="D23" s="899">
        <f t="shared" si="2"/>
        <v>4</v>
      </c>
      <c r="E23" s="830">
        <v>20</v>
      </c>
      <c r="F23" s="870"/>
      <c r="G23" s="872">
        <f t="shared" si="4"/>
        <v>166666.66666666669</v>
      </c>
      <c r="H23" s="883"/>
      <c r="I23" s="831"/>
      <c r="J23" s="897">
        <f t="shared" si="3"/>
        <v>0.20830000000000001</v>
      </c>
      <c r="L23" s="854"/>
      <c r="M23" s="855"/>
      <c r="N23" s="856"/>
      <c r="O23" s="856"/>
      <c r="P23" s="857"/>
      <c r="Q23" s="854"/>
      <c r="R23" s="854"/>
      <c r="S23" s="858" t="s">
        <v>533</v>
      </c>
      <c r="T23" s="859"/>
      <c r="U23" s="858" t="s">
        <v>732</v>
      </c>
      <c r="V23" s="859"/>
      <c r="W23" s="854"/>
      <c r="X23" s="855"/>
      <c r="Y23" s="856"/>
      <c r="Z23" s="856"/>
      <c r="AA23" s="857"/>
      <c r="AB23" s="854"/>
      <c r="AC23" s="854"/>
      <c r="AD23" s="858" t="s">
        <v>733</v>
      </c>
      <c r="AE23" s="859"/>
      <c r="AF23" s="915" t="s">
        <v>732</v>
      </c>
      <c r="AG23" s="916"/>
    </row>
    <row r="24" spans="1:33" ht="21.9" customHeight="1" x14ac:dyDescent="0.35">
      <c r="A24" s="870"/>
      <c r="B24" s="830">
        <f>'FACTOR F'!B25</f>
        <v>90</v>
      </c>
      <c r="C24" s="870"/>
      <c r="D24" s="899">
        <f t="shared" si="2"/>
        <v>4.5</v>
      </c>
      <c r="E24" s="830">
        <v>20</v>
      </c>
      <c r="F24" s="870"/>
      <c r="G24" s="872">
        <f t="shared" si="4"/>
        <v>187500</v>
      </c>
      <c r="H24" s="883"/>
      <c r="I24" s="831"/>
      <c r="J24" s="897">
        <f t="shared" si="3"/>
        <v>0.20830000000000001</v>
      </c>
      <c r="L24" s="860">
        <v>1</v>
      </c>
      <c r="M24" s="861" t="s">
        <v>739</v>
      </c>
      <c r="N24" s="862"/>
      <c r="O24" s="862"/>
      <c r="P24" s="863"/>
      <c r="Q24" s="864"/>
      <c r="R24" s="864"/>
      <c r="S24" s="865"/>
      <c r="T24" s="863"/>
      <c r="U24" s="865"/>
      <c r="V24" s="863"/>
      <c r="W24" s="866">
        <v>1</v>
      </c>
      <c r="X24" s="867" t="s">
        <v>740</v>
      </c>
      <c r="Y24" s="845"/>
      <c r="Z24" s="845"/>
      <c r="AA24" s="868"/>
      <c r="AB24" s="869"/>
      <c r="AC24" s="869"/>
      <c r="AD24" s="870"/>
      <c r="AE24" s="871"/>
      <c r="AF24" s="870"/>
      <c r="AG24" s="872" t="s">
        <v>741</v>
      </c>
    </row>
    <row r="25" spans="1:33" ht="21.9" customHeight="1" x14ac:dyDescent="0.35">
      <c r="A25" s="870"/>
      <c r="B25" s="830">
        <f>'FACTOR F'!B26</f>
        <v>100</v>
      </c>
      <c r="C25" s="870"/>
      <c r="D25" s="899">
        <f t="shared" si="2"/>
        <v>5</v>
      </c>
      <c r="E25" s="830">
        <v>20</v>
      </c>
      <c r="F25" s="870"/>
      <c r="G25" s="872">
        <f t="shared" si="4"/>
        <v>208333.33333333334</v>
      </c>
      <c r="H25" s="883"/>
      <c r="I25" s="831"/>
      <c r="J25" s="897">
        <f t="shared" si="3"/>
        <v>0.20830000000000001</v>
      </c>
      <c r="L25" s="877">
        <v>1.1000000000000001</v>
      </c>
      <c r="M25" s="878" t="s">
        <v>1437</v>
      </c>
      <c r="N25" s="879"/>
      <c r="O25" s="879"/>
      <c r="P25" s="880"/>
      <c r="Q25" s="877" t="s">
        <v>747</v>
      </c>
      <c r="R25" s="877">
        <v>1</v>
      </c>
      <c r="S25" s="878"/>
      <c r="T25" s="881">
        <v>0.32850000000000001</v>
      </c>
      <c r="U25" s="878"/>
      <c r="V25" s="882">
        <f t="shared" ref="V25:V35" si="5">((($P$21*1000000)*T25)/100)/$T$21</f>
        <v>547.5</v>
      </c>
      <c r="W25" s="869">
        <v>1.1000000000000001</v>
      </c>
      <c r="X25" s="870" t="s">
        <v>748</v>
      </c>
      <c r="Y25" s="883"/>
      <c r="Z25" s="883"/>
      <c r="AA25" s="884"/>
      <c r="AB25" s="869" t="s">
        <v>749</v>
      </c>
      <c r="AC25" s="869">
        <v>0</v>
      </c>
      <c r="AD25" s="870"/>
      <c r="AE25" s="885">
        <v>0</v>
      </c>
      <c r="AF25" s="870"/>
      <c r="AG25" s="871">
        <f t="shared" ref="AG25:AG33" si="6">(AC25*AE25)</f>
        <v>0</v>
      </c>
    </row>
    <row r="26" spans="1:33" ht="21.9" customHeight="1" x14ac:dyDescent="0.35">
      <c r="A26" s="870"/>
      <c r="B26" s="830">
        <f>'FACTOR F'!B27</f>
        <v>150</v>
      </c>
      <c r="C26" s="870"/>
      <c r="D26" s="899">
        <f t="shared" si="2"/>
        <v>7.5</v>
      </c>
      <c r="E26" s="830">
        <v>22</v>
      </c>
      <c r="F26" s="870"/>
      <c r="G26" s="872">
        <f t="shared" si="4"/>
        <v>343750</v>
      </c>
      <c r="H26" s="883"/>
      <c r="I26" s="831"/>
      <c r="J26" s="897">
        <f t="shared" si="3"/>
        <v>0.22919999999999999</v>
      </c>
      <c r="L26" s="877">
        <v>1.2</v>
      </c>
      <c r="M26" s="878" t="s">
        <v>752</v>
      </c>
      <c r="N26" s="879"/>
      <c r="O26" s="879"/>
      <c r="P26" s="880"/>
      <c r="Q26" s="877" t="s">
        <v>747</v>
      </c>
      <c r="R26" s="877">
        <v>1</v>
      </c>
      <c r="S26" s="878"/>
      <c r="T26" s="881">
        <v>0.85729999999999995</v>
      </c>
      <c r="U26" s="878"/>
      <c r="V26" s="882">
        <f t="shared" si="5"/>
        <v>1428.8333333333333</v>
      </c>
      <c r="W26" s="869">
        <v>1.2</v>
      </c>
      <c r="X26" s="870" t="s">
        <v>753</v>
      </c>
      <c r="Y26" s="883"/>
      <c r="Z26" s="883"/>
      <c r="AA26" s="884"/>
      <c r="AB26" s="869" t="s">
        <v>749</v>
      </c>
      <c r="AC26" s="869">
        <v>0</v>
      </c>
      <c r="AD26" s="870"/>
      <c r="AE26" s="871">
        <v>0</v>
      </c>
      <c r="AF26" s="870"/>
      <c r="AG26" s="871">
        <f t="shared" si="6"/>
        <v>0</v>
      </c>
    </row>
    <row r="27" spans="1:33" ht="21.9" customHeight="1" x14ac:dyDescent="0.35">
      <c r="A27" s="870"/>
      <c r="B27" s="830">
        <f>'FACTOR F'!B28</f>
        <v>200</v>
      </c>
      <c r="C27" s="870"/>
      <c r="D27" s="899">
        <f t="shared" si="2"/>
        <v>10</v>
      </c>
      <c r="E27" s="830">
        <v>24</v>
      </c>
      <c r="F27" s="870"/>
      <c r="G27" s="872">
        <f t="shared" si="4"/>
        <v>500000</v>
      </c>
      <c r="H27" s="883"/>
      <c r="I27" s="831"/>
      <c r="J27" s="897">
        <f t="shared" si="3"/>
        <v>0.25</v>
      </c>
      <c r="L27" s="877">
        <v>1.3</v>
      </c>
      <c r="M27" s="878" t="s">
        <v>754</v>
      </c>
      <c r="N27" s="879"/>
      <c r="O27" s="879"/>
      <c r="P27" s="880"/>
      <c r="Q27" s="877" t="s">
        <v>747</v>
      </c>
      <c r="R27" s="898">
        <v>1</v>
      </c>
      <c r="S27" s="878"/>
      <c r="T27" s="881">
        <v>0.01</v>
      </c>
      <c r="U27" s="878"/>
      <c r="V27" s="882">
        <f t="shared" si="5"/>
        <v>16.666666666666668</v>
      </c>
      <c r="W27" s="869">
        <v>1.3</v>
      </c>
      <c r="X27" s="870" t="s">
        <v>755</v>
      </c>
      <c r="Y27" s="883"/>
      <c r="Z27" s="883"/>
      <c r="AA27" s="884"/>
      <c r="AB27" s="869" t="s">
        <v>749</v>
      </c>
      <c r="AC27" s="869">
        <v>0</v>
      </c>
      <c r="AD27" s="870"/>
      <c r="AE27" s="871">
        <v>0</v>
      </c>
      <c r="AF27" s="870"/>
      <c r="AG27" s="871">
        <f t="shared" si="6"/>
        <v>0</v>
      </c>
    </row>
    <row r="28" spans="1:33" ht="21.9" customHeight="1" x14ac:dyDescent="0.35">
      <c r="A28" s="870"/>
      <c r="B28" s="830">
        <f>'FACTOR F'!B29</f>
        <v>250</v>
      </c>
      <c r="C28" s="870"/>
      <c r="D28" s="899">
        <f t="shared" si="2"/>
        <v>12.5</v>
      </c>
      <c r="E28" s="830">
        <v>28</v>
      </c>
      <c r="F28" s="870"/>
      <c r="G28" s="872">
        <f t="shared" si="4"/>
        <v>729166.66666666674</v>
      </c>
      <c r="H28" s="883"/>
      <c r="I28" s="831"/>
      <c r="J28" s="897">
        <f t="shared" si="3"/>
        <v>0.29170000000000001</v>
      </c>
      <c r="L28" s="877">
        <v>1.4</v>
      </c>
      <c r="M28" s="878" t="s">
        <v>453</v>
      </c>
      <c r="N28" s="879"/>
      <c r="O28" s="879"/>
      <c r="P28" s="880"/>
      <c r="Q28" s="877" t="s">
        <v>747</v>
      </c>
      <c r="R28" s="877">
        <v>1</v>
      </c>
      <c r="S28" s="878"/>
      <c r="T28" s="881">
        <v>0.34320000000000001</v>
      </c>
      <c r="U28" s="878"/>
      <c r="V28" s="882">
        <f t="shared" si="5"/>
        <v>572</v>
      </c>
      <c r="W28" s="869">
        <v>1.4</v>
      </c>
      <c r="X28" s="870" t="s">
        <v>454</v>
      </c>
      <c r="Y28" s="883"/>
      <c r="Z28" s="883"/>
      <c r="AA28" s="884"/>
      <c r="AB28" s="869" t="s">
        <v>749</v>
      </c>
      <c r="AC28" s="869">
        <v>0</v>
      </c>
      <c r="AD28" s="870"/>
      <c r="AE28" s="871">
        <v>0</v>
      </c>
      <c r="AF28" s="870"/>
      <c r="AG28" s="871">
        <f t="shared" si="6"/>
        <v>0</v>
      </c>
    </row>
    <row r="29" spans="1:33" ht="21.9" customHeight="1" x14ac:dyDescent="0.35">
      <c r="A29" s="870"/>
      <c r="B29" s="830">
        <f>'FACTOR F'!B30</f>
        <v>300</v>
      </c>
      <c r="C29" s="870"/>
      <c r="D29" s="899">
        <f t="shared" si="2"/>
        <v>15</v>
      </c>
      <c r="E29" s="830">
        <v>30</v>
      </c>
      <c r="F29" s="870"/>
      <c r="G29" s="872">
        <f t="shared" si="4"/>
        <v>937500</v>
      </c>
      <c r="H29" s="883"/>
      <c r="I29" s="831"/>
      <c r="J29" s="897">
        <f t="shared" si="3"/>
        <v>0.3125</v>
      </c>
      <c r="L29" s="900">
        <v>2</v>
      </c>
      <c r="M29" s="901" t="s">
        <v>455</v>
      </c>
      <c r="N29" s="879"/>
      <c r="O29" s="879"/>
      <c r="P29" s="880"/>
      <c r="Q29" s="877"/>
      <c r="R29" s="877"/>
      <c r="S29" s="878"/>
      <c r="T29" s="882">
        <v>0</v>
      </c>
      <c r="U29" s="878"/>
      <c r="V29" s="882">
        <f t="shared" si="5"/>
        <v>0</v>
      </c>
      <c r="W29" s="869">
        <v>1.5</v>
      </c>
      <c r="X29" s="870" t="s">
        <v>456</v>
      </c>
      <c r="Y29" s="883"/>
      <c r="Z29" s="883"/>
      <c r="AA29" s="884"/>
      <c r="AB29" s="869" t="s">
        <v>749</v>
      </c>
      <c r="AC29" s="869">
        <v>1</v>
      </c>
      <c r="AD29" s="870"/>
      <c r="AE29" s="902">
        <v>8000</v>
      </c>
      <c r="AF29" s="870"/>
      <c r="AG29" s="902">
        <f t="shared" si="6"/>
        <v>8000</v>
      </c>
    </row>
    <row r="30" spans="1:33" ht="21.9" customHeight="1" x14ac:dyDescent="0.35">
      <c r="A30" s="870"/>
      <c r="B30" s="830">
        <f>'FACTOR F'!B31</f>
        <v>350</v>
      </c>
      <c r="C30" s="870"/>
      <c r="D30" s="899">
        <f t="shared" si="2"/>
        <v>17.5</v>
      </c>
      <c r="E30" s="830">
        <v>32</v>
      </c>
      <c r="F30" s="870"/>
      <c r="G30" s="872">
        <f t="shared" si="4"/>
        <v>1166666.6666666665</v>
      </c>
      <c r="H30" s="883"/>
      <c r="I30" s="831"/>
      <c r="J30" s="897">
        <f t="shared" si="3"/>
        <v>0.33329999999999999</v>
      </c>
      <c r="L30" s="877">
        <v>2.1</v>
      </c>
      <c r="M30" s="878" t="s">
        <v>457</v>
      </c>
      <c r="N30" s="879"/>
      <c r="O30" s="879"/>
      <c r="P30" s="880"/>
      <c r="Q30" s="877" t="s">
        <v>747</v>
      </c>
      <c r="R30" s="877">
        <v>1</v>
      </c>
      <c r="S30" s="878"/>
      <c r="T30" s="881">
        <v>3.1983000000000001</v>
      </c>
      <c r="U30" s="878"/>
      <c r="V30" s="882">
        <f t="shared" si="5"/>
        <v>5330.5</v>
      </c>
      <c r="W30" s="869">
        <v>1.6</v>
      </c>
      <c r="X30" s="870" t="s">
        <v>458</v>
      </c>
      <c r="Y30" s="883"/>
      <c r="Z30" s="883"/>
      <c r="AA30" s="884"/>
      <c r="AB30" s="869" t="s">
        <v>749</v>
      </c>
      <c r="AC30" s="869">
        <v>1</v>
      </c>
      <c r="AD30" s="870"/>
      <c r="AE30" s="902">
        <v>5000</v>
      </c>
      <c r="AF30" s="870"/>
      <c r="AG30" s="902">
        <f t="shared" si="6"/>
        <v>5000</v>
      </c>
    </row>
    <row r="31" spans="1:33" ht="21.9" customHeight="1" x14ac:dyDescent="0.35">
      <c r="A31" s="870"/>
      <c r="B31" s="830">
        <f>'FACTOR F'!B32</f>
        <v>400</v>
      </c>
      <c r="C31" s="870"/>
      <c r="D31" s="899">
        <f t="shared" si="2"/>
        <v>20</v>
      </c>
      <c r="E31" s="830">
        <v>36</v>
      </c>
      <c r="F31" s="870"/>
      <c r="G31" s="872">
        <f t="shared" si="4"/>
        <v>1500000</v>
      </c>
      <c r="H31" s="883"/>
      <c r="I31" s="831"/>
      <c r="J31" s="897">
        <f t="shared" si="3"/>
        <v>0.375</v>
      </c>
      <c r="L31" s="877">
        <v>2.2000000000000002</v>
      </c>
      <c r="M31" s="878" t="s">
        <v>459</v>
      </c>
      <c r="N31" s="879"/>
      <c r="O31" s="879"/>
      <c r="P31" s="880"/>
      <c r="Q31" s="877" t="s">
        <v>747</v>
      </c>
      <c r="R31" s="877">
        <v>1</v>
      </c>
      <c r="S31" s="878"/>
      <c r="T31" s="881">
        <v>2.1528</v>
      </c>
      <c r="U31" s="878"/>
      <c r="V31" s="882">
        <f t="shared" si="5"/>
        <v>3588</v>
      </c>
      <c r="W31" s="869">
        <v>1.7</v>
      </c>
      <c r="X31" s="870" t="s">
        <v>460</v>
      </c>
      <c r="Y31" s="883"/>
      <c r="Z31" s="883"/>
      <c r="AA31" s="884"/>
      <c r="AB31" s="869" t="s">
        <v>749</v>
      </c>
      <c r="AC31" s="869">
        <v>0</v>
      </c>
      <c r="AD31" s="870"/>
      <c r="AE31" s="871">
        <v>0</v>
      </c>
      <c r="AF31" s="870"/>
      <c r="AG31" s="871">
        <f t="shared" si="6"/>
        <v>0</v>
      </c>
    </row>
    <row r="32" spans="1:33" ht="21.9" customHeight="1" x14ac:dyDescent="0.35">
      <c r="A32" s="870"/>
      <c r="B32" s="830">
        <f>'FACTOR F'!B33</f>
        <v>500</v>
      </c>
      <c r="C32" s="870"/>
      <c r="D32" s="899">
        <f t="shared" si="2"/>
        <v>25</v>
      </c>
      <c r="E32" s="830">
        <v>36</v>
      </c>
      <c r="F32" s="870"/>
      <c r="G32" s="872">
        <f t="shared" si="4"/>
        <v>1875000</v>
      </c>
      <c r="H32" s="883"/>
      <c r="I32" s="831"/>
      <c r="J32" s="897">
        <f t="shared" si="3"/>
        <v>0.375</v>
      </c>
      <c r="L32" s="877">
        <v>2.2999999999999998</v>
      </c>
      <c r="M32" s="878" t="s">
        <v>461</v>
      </c>
      <c r="N32" s="879"/>
      <c r="O32" s="879"/>
      <c r="P32" s="880"/>
      <c r="Q32" s="877" t="s">
        <v>747</v>
      </c>
      <c r="R32" s="877">
        <v>1</v>
      </c>
      <c r="S32" s="878"/>
      <c r="T32" s="881">
        <v>2.4299999999999999E-2</v>
      </c>
      <c r="U32" s="878"/>
      <c r="V32" s="882">
        <f t="shared" si="5"/>
        <v>40.5</v>
      </c>
      <c r="W32" s="869">
        <v>1.8</v>
      </c>
      <c r="X32" s="870" t="s">
        <v>462</v>
      </c>
      <c r="Y32" s="845"/>
      <c r="Z32" s="845"/>
      <c r="AA32" s="868"/>
      <c r="AB32" s="869" t="s">
        <v>749</v>
      </c>
      <c r="AC32" s="869">
        <v>0</v>
      </c>
      <c r="AD32" s="870"/>
      <c r="AE32" s="871">
        <v>0</v>
      </c>
      <c r="AF32" s="870"/>
      <c r="AG32" s="871">
        <f t="shared" si="6"/>
        <v>0</v>
      </c>
    </row>
    <row r="33" spans="1:43" ht="21.9" customHeight="1" x14ac:dyDescent="0.35">
      <c r="A33" s="917" t="str">
        <f>'FACTOR F'!A34</f>
        <v>&gt;</v>
      </c>
      <c r="B33" s="918">
        <v>1000</v>
      </c>
      <c r="C33" s="919"/>
      <c r="D33" s="920">
        <f t="shared" si="2"/>
        <v>50</v>
      </c>
      <c r="E33" s="921">
        <v>40</v>
      </c>
      <c r="F33" s="919"/>
      <c r="G33" s="922">
        <f t="shared" si="4"/>
        <v>4166666.666666667</v>
      </c>
      <c r="H33" s="923"/>
      <c r="I33" s="924"/>
      <c r="J33" s="925">
        <f t="shared" si="3"/>
        <v>0.41670000000000001</v>
      </c>
      <c r="L33" s="877">
        <v>2.4</v>
      </c>
      <c r="M33" s="878" t="s">
        <v>463</v>
      </c>
      <c r="N33" s="879"/>
      <c r="O33" s="879"/>
      <c r="P33" s="880"/>
      <c r="Q33" s="877" t="s">
        <v>747</v>
      </c>
      <c r="R33" s="877">
        <v>1</v>
      </c>
      <c r="S33" s="878"/>
      <c r="T33" s="881">
        <v>0.23130000000000001</v>
      </c>
      <c r="U33" s="878"/>
      <c r="V33" s="882">
        <f t="shared" si="5"/>
        <v>385.5</v>
      </c>
      <c r="W33" s="869">
        <v>1.9</v>
      </c>
      <c r="X33" s="870" t="s">
        <v>464</v>
      </c>
      <c r="Y33" s="883"/>
      <c r="Z33" s="883"/>
      <c r="AA33" s="884"/>
      <c r="AB33" s="869" t="s">
        <v>749</v>
      </c>
      <c r="AC33" s="869">
        <v>0</v>
      </c>
      <c r="AD33" s="870"/>
      <c r="AE33" s="871">
        <v>0</v>
      </c>
      <c r="AF33" s="870"/>
      <c r="AG33" s="871">
        <f t="shared" si="6"/>
        <v>0</v>
      </c>
    </row>
    <row r="34" spans="1:43" ht="21.9" customHeight="1" x14ac:dyDescent="0.35">
      <c r="A34" s="883"/>
      <c r="B34" s="883"/>
      <c r="C34" s="883"/>
      <c r="D34" s="883"/>
      <c r="E34" s="883"/>
      <c r="F34" s="883"/>
      <c r="G34" s="883"/>
      <c r="H34" s="883"/>
      <c r="I34" s="883"/>
      <c r="J34" s="883"/>
      <c r="L34" s="877" t="s">
        <v>741</v>
      </c>
      <c r="M34" s="878" t="s">
        <v>741</v>
      </c>
      <c r="N34" s="879"/>
      <c r="O34" s="879"/>
      <c r="P34" s="880"/>
      <c r="Q34" s="877" t="s">
        <v>741</v>
      </c>
      <c r="R34" s="877" t="s">
        <v>741</v>
      </c>
      <c r="S34" s="878"/>
      <c r="T34" s="882">
        <v>0</v>
      </c>
      <c r="U34" s="878" t="s">
        <v>741</v>
      </c>
      <c r="V34" s="882">
        <f t="shared" si="5"/>
        <v>0</v>
      </c>
      <c r="W34" s="869" t="s">
        <v>741</v>
      </c>
      <c r="X34" s="870" t="s">
        <v>741</v>
      </c>
      <c r="Y34" s="883"/>
      <c r="Z34" s="883"/>
      <c r="AA34" s="884"/>
      <c r="AB34" s="869" t="s">
        <v>741</v>
      </c>
      <c r="AC34" s="869" t="s">
        <v>741</v>
      </c>
      <c r="AD34" s="870"/>
      <c r="AE34" s="884"/>
      <c r="AF34" s="870"/>
      <c r="AG34" s="884"/>
    </row>
    <row r="35" spans="1:43" ht="21.9" customHeight="1" x14ac:dyDescent="0.35">
      <c r="A35" s="883"/>
      <c r="B35" s="883"/>
      <c r="C35" s="883"/>
      <c r="D35" s="883"/>
      <c r="E35" s="883"/>
      <c r="F35" s="883"/>
      <c r="G35" s="883"/>
      <c r="H35" s="883"/>
      <c r="I35" s="883"/>
      <c r="J35" s="883"/>
      <c r="L35" s="877" t="s">
        <v>741</v>
      </c>
      <c r="M35" s="878" t="s">
        <v>741</v>
      </c>
      <c r="N35" s="879"/>
      <c r="O35" s="879"/>
      <c r="P35" s="880"/>
      <c r="Q35" s="877" t="s">
        <v>741</v>
      </c>
      <c r="R35" s="877" t="s">
        <v>741</v>
      </c>
      <c r="S35" s="878"/>
      <c r="T35" s="882">
        <v>0</v>
      </c>
      <c r="U35" s="878" t="s">
        <v>741</v>
      </c>
      <c r="V35" s="882">
        <f t="shared" si="5"/>
        <v>0</v>
      </c>
      <c r="W35" s="869" t="s">
        <v>741</v>
      </c>
      <c r="X35" s="926" t="s">
        <v>260</v>
      </c>
      <c r="Y35" s="927"/>
      <c r="Z35" s="927"/>
      <c r="AA35" s="928"/>
      <c r="AB35" s="869" t="s">
        <v>741</v>
      </c>
      <c r="AC35" s="869" t="s">
        <v>741</v>
      </c>
      <c r="AD35" s="870"/>
      <c r="AE35" s="884"/>
      <c r="AF35" s="870"/>
      <c r="AG35" s="929">
        <f>SUM(AG25:AG34)</f>
        <v>13000</v>
      </c>
    </row>
    <row r="36" spans="1:43" ht="21.9" customHeight="1" x14ac:dyDescent="0.35">
      <c r="A36" s="883"/>
      <c r="B36" s="883"/>
      <c r="C36" s="883"/>
      <c r="D36" s="883"/>
      <c r="E36" s="883"/>
      <c r="F36" s="883"/>
      <c r="G36" s="883"/>
      <c r="H36" s="883"/>
      <c r="I36" s="883"/>
      <c r="J36" s="883"/>
      <c r="L36" s="903" t="s">
        <v>260</v>
      </c>
      <c r="M36" s="904"/>
      <c r="N36" s="904"/>
      <c r="O36" s="904"/>
      <c r="P36" s="904"/>
      <c r="Q36" s="904"/>
      <c r="R36" s="904"/>
      <c r="S36" s="904"/>
      <c r="T36" s="905"/>
      <c r="U36" s="906"/>
      <c r="V36" s="907">
        <f>SUM(V25:V35)</f>
        <v>11909.5</v>
      </c>
      <c r="W36" s="908" t="s">
        <v>465</v>
      </c>
      <c r="X36" s="909"/>
      <c r="Y36" s="909"/>
      <c r="Z36" s="909"/>
      <c r="AA36" s="909"/>
      <c r="AB36" s="909"/>
      <c r="AC36" s="909"/>
      <c r="AD36" s="909"/>
      <c r="AE36" s="910"/>
      <c r="AF36" s="911"/>
      <c r="AG36" s="912">
        <f>AG35/2</f>
        <v>6500</v>
      </c>
    </row>
    <row r="37" spans="1:43" ht="21.9" customHeight="1" x14ac:dyDescent="0.35">
      <c r="A37" s="828" t="s">
        <v>468</v>
      </c>
      <c r="B37" s="828"/>
      <c r="C37" s="828"/>
      <c r="D37" s="828"/>
      <c r="E37" s="828"/>
      <c r="F37" s="828"/>
      <c r="G37" s="828"/>
      <c r="H37" s="828"/>
      <c r="I37" s="828"/>
      <c r="J37" s="828"/>
      <c r="L37" s="828" t="s">
        <v>469</v>
      </c>
      <c r="M37" s="828"/>
      <c r="N37" s="828"/>
      <c r="O37" s="828"/>
      <c r="P37" s="828"/>
      <c r="Q37" s="828"/>
      <c r="R37" s="828"/>
      <c r="S37" s="828"/>
      <c r="T37" s="828"/>
      <c r="U37" s="828"/>
      <c r="V37" s="828"/>
      <c r="W37" s="930" t="s">
        <v>470</v>
      </c>
      <c r="X37" s="930"/>
      <c r="Y37" s="930"/>
      <c r="Z37" s="930"/>
      <c r="AA37" s="930"/>
      <c r="AB37" s="930"/>
      <c r="AC37" s="930"/>
      <c r="AD37" s="930"/>
      <c r="AE37" s="930"/>
      <c r="AF37" s="930"/>
      <c r="AG37" s="930"/>
      <c r="AH37" s="828" t="s">
        <v>471</v>
      </c>
      <c r="AI37" s="828"/>
      <c r="AJ37" s="828"/>
      <c r="AK37" s="828"/>
      <c r="AL37" s="828"/>
      <c r="AM37" s="828"/>
      <c r="AN37" s="828"/>
    </row>
    <row r="38" spans="1:43" ht="21.9" customHeight="1" x14ac:dyDescent="0.35">
      <c r="A38" s="883"/>
      <c r="B38" s="883"/>
      <c r="C38" s="883"/>
      <c r="D38" s="883"/>
      <c r="E38" s="883"/>
      <c r="F38" s="883"/>
      <c r="G38" s="883"/>
      <c r="H38" s="883"/>
      <c r="I38" s="883"/>
      <c r="J38" s="883"/>
      <c r="L38" s="883"/>
      <c r="M38" s="883"/>
      <c r="N38" s="883"/>
      <c r="O38" s="883"/>
      <c r="P38" s="883"/>
      <c r="Q38" s="883"/>
      <c r="R38" s="883"/>
      <c r="S38" s="883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</row>
    <row r="39" spans="1:43" ht="21.9" customHeight="1" x14ac:dyDescent="0.4">
      <c r="A39" s="834" t="s">
        <v>472</v>
      </c>
      <c r="B39" s="853"/>
      <c r="C39" s="853"/>
      <c r="D39" s="853"/>
      <c r="E39" s="853"/>
      <c r="F39" s="853"/>
      <c r="G39" s="853"/>
      <c r="H39" s="853"/>
      <c r="I39" s="879"/>
      <c r="J39" s="831"/>
      <c r="L39" s="831"/>
      <c r="M39" s="837" t="s">
        <v>473</v>
      </c>
      <c r="N39" s="837"/>
      <c r="O39" s="837"/>
      <c r="P39" s="837">
        <v>2</v>
      </c>
      <c r="Q39" s="837" t="s">
        <v>660</v>
      </c>
      <c r="R39" s="831"/>
      <c r="S39" s="838" t="s">
        <v>518</v>
      </c>
      <c r="T39" s="837">
        <f>E12</f>
        <v>9</v>
      </c>
      <c r="U39" s="839" t="s">
        <v>519</v>
      </c>
      <c r="V39" s="831"/>
      <c r="X39" s="840" t="s">
        <v>474</v>
      </c>
      <c r="Y39" s="840"/>
      <c r="Z39" s="840"/>
      <c r="AA39" s="840">
        <v>2</v>
      </c>
      <c r="AB39" s="841" t="s">
        <v>660</v>
      </c>
      <c r="AD39" s="842" t="s">
        <v>518</v>
      </c>
      <c r="AE39" s="837">
        <f>E12</f>
        <v>9</v>
      </c>
      <c r="AF39" s="844" t="s">
        <v>519</v>
      </c>
      <c r="AH39" s="931" t="s">
        <v>475</v>
      </c>
      <c r="AI39" s="931"/>
      <c r="AJ39" s="931"/>
      <c r="AK39" s="931"/>
      <c r="AL39" s="931"/>
      <c r="AM39" s="931"/>
      <c r="AN39" s="931"/>
    </row>
    <row r="40" spans="1:43" ht="21.9" customHeight="1" x14ac:dyDescent="0.35">
      <c r="A40" s="831" t="s">
        <v>744</v>
      </c>
      <c r="B40" s="831"/>
      <c r="C40" s="831">
        <v>5</v>
      </c>
      <c r="D40" s="831" t="s">
        <v>476</v>
      </c>
      <c r="E40" s="831"/>
      <c r="F40" s="883"/>
      <c r="G40" s="831" t="s">
        <v>518</v>
      </c>
      <c r="H40" s="831">
        <v>2</v>
      </c>
      <c r="I40" s="932" t="s">
        <v>477</v>
      </c>
      <c r="J40" s="831"/>
      <c r="L40" s="847" t="s">
        <v>522</v>
      </c>
      <c r="M40" s="848" t="s">
        <v>523</v>
      </c>
      <c r="N40" s="849"/>
      <c r="O40" s="849"/>
      <c r="P40" s="850"/>
      <c r="Q40" s="847" t="s">
        <v>524</v>
      </c>
      <c r="R40" s="847" t="s">
        <v>525</v>
      </c>
      <c r="S40" s="851" t="s">
        <v>526</v>
      </c>
      <c r="T40" s="852"/>
      <c r="U40" s="851" t="s">
        <v>527</v>
      </c>
      <c r="V40" s="852"/>
      <c r="W40" s="847" t="s">
        <v>522</v>
      </c>
      <c r="X40" s="848" t="s">
        <v>523</v>
      </c>
      <c r="Y40" s="849"/>
      <c r="Z40" s="849"/>
      <c r="AA40" s="850"/>
      <c r="AB40" s="847" t="s">
        <v>524</v>
      </c>
      <c r="AC40" s="847" t="s">
        <v>525</v>
      </c>
      <c r="AD40" s="851" t="s">
        <v>528</v>
      </c>
      <c r="AE40" s="852"/>
      <c r="AF40" s="851" t="s">
        <v>529</v>
      </c>
      <c r="AG40" s="852"/>
      <c r="AH40" s="933" t="s">
        <v>478</v>
      </c>
      <c r="AI40" s="934"/>
      <c r="AJ40" s="935" t="s">
        <v>479</v>
      </c>
      <c r="AK40" s="935" t="s">
        <v>480</v>
      </c>
      <c r="AL40" s="935" t="s">
        <v>481</v>
      </c>
      <c r="AM40" s="935" t="s">
        <v>482</v>
      </c>
      <c r="AN40" s="935" t="s">
        <v>483</v>
      </c>
    </row>
    <row r="41" spans="1:43" ht="21.9" customHeight="1" x14ac:dyDescent="0.35">
      <c r="A41" s="831" t="s">
        <v>484</v>
      </c>
      <c r="B41" s="831"/>
      <c r="C41" s="831">
        <v>2.5</v>
      </c>
      <c r="D41" s="831" t="s">
        <v>652</v>
      </c>
      <c r="E41" s="831"/>
      <c r="F41" s="883"/>
      <c r="G41" s="936" t="s">
        <v>745</v>
      </c>
      <c r="H41" s="937">
        <f>ROUND(((($C$40/100)*$C$41/100)*2*100),4)</f>
        <v>0.25</v>
      </c>
      <c r="I41" s="936" t="s">
        <v>485</v>
      </c>
      <c r="J41" s="936"/>
      <c r="L41" s="854"/>
      <c r="M41" s="855"/>
      <c r="N41" s="856"/>
      <c r="O41" s="856"/>
      <c r="P41" s="857"/>
      <c r="Q41" s="854"/>
      <c r="R41" s="854"/>
      <c r="S41" s="858" t="s">
        <v>533</v>
      </c>
      <c r="T41" s="859"/>
      <c r="U41" s="858" t="s">
        <v>732</v>
      </c>
      <c r="V41" s="859"/>
      <c r="W41" s="854"/>
      <c r="X41" s="855"/>
      <c r="Y41" s="856"/>
      <c r="Z41" s="856"/>
      <c r="AA41" s="857"/>
      <c r="AB41" s="854"/>
      <c r="AC41" s="854"/>
      <c r="AD41" s="858" t="s">
        <v>733</v>
      </c>
      <c r="AE41" s="859"/>
      <c r="AF41" s="858" t="s">
        <v>732</v>
      </c>
      <c r="AG41" s="859"/>
      <c r="AH41" s="938" t="s">
        <v>660</v>
      </c>
      <c r="AI41" s="939"/>
      <c r="AJ41" s="940" t="s">
        <v>650</v>
      </c>
      <c r="AK41" s="940" t="s">
        <v>650</v>
      </c>
      <c r="AL41" s="941" t="s">
        <v>650</v>
      </c>
      <c r="AM41" s="940" t="s">
        <v>650</v>
      </c>
      <c r="AN41" s="941" t="s">
        <v>650</v>
      </c>
    </row>
    <row r="42" spans="1:43" ht="21.9" customHeight="1" x14ac:dyDescent="0.4">
      <c r="A42" s="942" t="s">
        <v>741</v>
      </c>
      <c r="B42" s="942"/>
      <c r="C42" s="942"/>
      <c r="D42" s="942"/>
      <c r="E42" s="942"/>
      <c r="F42" s="942"/>
      <c r="G42" s="942"/>
      <c r="H42" s="942"/>
      <c r="I42" s="942"/>
      <c r="L42" s="860">
        <v>1</v>
      </c>
      <c r="M42" s="861" t="s">
        <v>739</v>
      </c>
      <c r="N42" s="862"/>
      <c r="O42" s="862"/>
      <c r="P42" s="863"/>
      <c r="Q42" s="864"/>
      <c r="R42" s="864"/>
      <c r="S42" s="865"/>
      <c r="T42" s="863"/>
      <c r="U42" s="865"/>
      <c r="V42" s="863"/>
      <c r="W42" s="866">
        <v>1</v>
      </c>
      <c r="X42" s="867" t="s">
        <v>740</v>
      </c>
      <c r="Y42" s="845"/>
      <c r="Z42" s="845"/>
      <c r="AA42" s="868"/>
      <c r="AB42" s="869"/>
      <c r="AC42" s="869"/>
      <c r="AD42" s="870"/>
      <c r="AE42" s="871"/>
      <c r="AF42" s="870"/>
      <c r="AG42" s="872" t="s">
        <v>741</v>
      </c>
      <c r="AH42" s="892" t="s">
        <v>267</v>
      </c>
      <c r="AI42" s="943">
        <f t="shared" ref="AI42:AI65" si="7">B10</f>
        <v>0.5</v>
      </c>
      <c r="AJ42" s="944">
        <f t="shared" ref="AJ42:AJ65" si="8">J78</f>
        <v>0.67049999999999998</v>
      </c>
      <c r="AK42" s="945">
        <f t="shared" ref="AK42:AK65" si="9">U439</f>
        <v>7.1458000000000004</v>
      </c>
      <c r="AL42" s="946">
        <f>AG439</f>
        <v>3.3</v>
      </c>
      <c r="AM42" s="945">
        <f t="shared" ref="AM42:AM65" si="10">$AM$8</f>
        <v>0.3</v>
      </c>
      <c r="AN42" s="945">
        <f t="shared" ref="AN42:AN65" si="11">ROUND(AJ42+AK42+AL42+AM42,4)</f>
        <v>11.4163</v>
      </c>
    </row>
    <row r="43" spans="1:43" ht="21.9" customHeight="1" x14ac:dyDescent="0.35">
      <c r="A43" s="831"/>
      <c r="B43" s="834" t="s">
        <v>486</v>
      </c>
      <c r="C43" s="831"/>
      <c r="D43" s="831"/>
      <c r="E43" s="831"/>
      <c r="F43" s="831"/>
      <c r="G43" s="853"/>
      <c r="H43" s="853"/>
      <c r="I43" s="831"/>
      <c r="J43" s="831"/>
      <c r="L43" s="877">
        <v>1.1000000000000001</v>
      </c>
      <c r="M43" s="878" t="s">
        <v>1437</v>
      </c>
      <c r="N43" s="879"/>
      <c r="O43" s="879"/>
      <c r="P43" s="880"/>
      <c r="Q43" s="877" t="s">
        <v>747</v>
      </c>
      <c r="R43" s="877">
        <v>1</v>
      </c>
      <c r="S43" s="878"/>
      <c r="T43" s="881">
        <v>0.32850000000000001</v>
      </c>
      <c r="U43" s="878"/>
      <c r="V43" s="882">
        <f t="shared" ref="V43:V53" si="12">((($P$39*1000000)*T43)/100)/$T$39</f>
        <v>730</v>
      </c>
      <c r="W43" s="869">
        <v>1.1000000000000001</v>
      </c>
      <c r="X43" s="870" t="s">
        <v>748</v>
      </c>
      <c r="Y43" s="883"/>
      <c r="Z43" s="883"/>
      <c r="AA43" s="884"/>
      <c r="AB43" s="869" t="s">
        <v>749</v>
      </c>
      <c r="AC43" s="869">
        <v>0</v>
      </c>
      <c r="AD43" s="870"/>
      <c r="AE43" s="885">
        <v>0</v>
      </c>
      <c r="AF43" s="870"/>
      <c r="AG43" s="871">
        <f t="shared" ref="AG43:AG51" si="13">(AC43*AE43)</f>
        <v>0</v>
      </c>
      <c r="AH43" s="870"/>
      <c r="AI43" s="947">
        <f t="shared" si="7"/>
        <v>1</v>
      </c>
      <c r="AJ43" s="948">
        <f t="shared" si="8"/>
        <v>0.67049999999999998</v>
      </c>
      <c r="AK43" s="949">
        <f t="shared" si="9"/>
        <v>7.1456999999999997</v>
      </c>
      <c r="AL43" s="946">
        <f>AG440</f>
        <v>3.3</v>
      </c>
      <c r="AM43" s="949">
        <f t="shared" si="10"/>
        <v>0.3</v>
      </c>
      <c r="AN43" s="949">
        <f t="shared" si="11"/>
        <v>11.4162</v>
      </c>
    </row>
    <row r="44" spans="1:43" ht="21.9" customHeight="1" x14ac:dyDescent="0.4">
      <c r="A44" s="831"/>
      <c r="B44" s="831"/>
      <c r="C44" s="831"/>
      <c r="D44" s="831"/>
      <c r="E44" s="942"/>
      <c r="F44" s="936" t="s">
        <v>487</v>
      </c>
      <c r="G44" s="936"/>
      <c r="H44" s="937">
        <v>0.1</v>
      </c>
      <c r="I44" s="950" t="s">
        <v>1438</v>
      </c>
      <c r="J44" s="936"/>
      <c r="L44" s="877">
        <v>1.2</v>
      </c>
      <c r="M44" s="878" t="s">
        <v>752</v>
      </c>
      <c r="N44" s="879"/>
      <c r="O44" s="879"/>
      <c r="P44" s="880"/>
      <c r="Q44" s="877" t="s">
        <v>747</v>
      </c>
      <c r="R44" s="877">
        <v>1</v>
      </c>
      <c r="S44" s="878"/>
      <c r="T44" s="881">
        <v>0.85729999999999995</v>
      </c>
      <c r="U44" s="878"/>
      <c r="V44" s="882">
        <f t="shared" si="12"/>
        <v>1905.1111111111111</v>
      </c>
      <c r="W44" s="869">
        <v>1.2</v>
      </c>
      <c r="X44" s="870" t="s">
        <v>753</v>
      </c>
      <c r="Y44" s="883"/>
      <c r="Z44" s="883"/>
      <c r="AA44" s="884"/>
      <c r="AB44" s="869" t="s">
        <v>749</v>
      </c>
      <c r="AC44" s="869">
        <v>0</v>
      </c>
      <c r="AD44" s="870"/>
      <c r="AE44" s="871">
        <v>0</v>
      </c>
      <c r="AF44" s="870"/>
      <c r="AG44" s="871">
        <f t="shared" si="13"/>
        <v>0</v>
      </c>
      <c r="AH44" s="870"/>
      <c r="AI44" s="947">
        <f t="shared" si="7"/>
        <v>2</v>
      </c>
      <c r="AJ44" s="948">
        <f t="shared" si="8"/>
        <v>0.70179999999999998</v>
      </c>
      <c r="AK44" s="949">
        <f t="shared" si="9"/>
        <v>6.9706999999999999</v>
      </c>
      <c r="AL44" s="946">
        <f>AG441</f>
        <v>3.3</v>
      </c>
      <c r="AM44" s="949">
        <f t="shared" si="10"/>
        <v>0.3</v>
      </c>
      <c r="AN44" s="949">
        <f t="shared" si="11"/>
        <v>11.272500000000001</v>
      </c>
      <c r="AO44" s="830"/>
      <c r="AQ44" s="951"/>
    </row>
    <row r="45" spans="1:43" ht="21.9" customHeight="1" x14ac:dyDescent="0.4">
      <c r="A45" s="942" t="s">
        <v>741</v>
      </c>
      <c r="B45" s="942"/>
      <c r="C45" s="942"/>
      <c r="D45" s="942"/>
      <c r="E45" s="942"/>
      <c r="F45" s="942"/>
      <c r="G45" s="942"/>
      <c r="H45" s="942"/>
      <c r="I45" s="942"/>
      <c r="L45" s="877">
        <v>1.3</v>
      </c>
      <c r="M45" s="878" t="s">
        <v>754</v>
      </c>
      <c r="N45" s="879"/>
      <c r="O45" s="879"/>
      <c r="P45" s="880"/>
      <c r="Q45" s="877" t="s">
        <v>747</v>
      </c>
      <c r="R45" s="898">
        <v>1</v>
      </c>
      <c r="S45" s="878"/>
      <c r="T45" s="881">
        <v>0.01</v>
      </c>
      <c r="U45" s="878"/>
      <c r="V45" s="882">
        <f t="shared" si="12"/>
        <v>22.222222222222221</v>
      </c>
      <c r="W45" s="869">
        <v>1.3</v>
      </c>
      <c r="X45" s="870" t="s">
        <v>755</v>
      </c>
      <c r="Y45" s="883"/>
      <c r="Z45" s="883"/>
      <c r="AA45" s="884"/>
      <c r="AB45" s="869" t="s">
        <v>749</v>
      </c>
      <c r="AC45" s="869">
        <v>0</v>
      </c>
      <c r="AD45" s="870"/>
      <c r="AE45" s="871">
        <v>0</v>
      </c>
      <c r="AF45" s="870"/>
      <c r="AG45" s="871">
        <f t="shared" si="13"/>
        <v>0</v>
      </c>
      <c r="AH45" s="870"/>
      <c r="AI45" s="947">
        <f t="shared" si="7"/>
        <v>5</v>
      </c>
      <c r="AJ45" s="948">
        <f t="shared" si="8"/>
        <v>0.73299999999999998</v>
      </c>
      <c r="AK45" s="949">
        <f t="shared" si="9"/>
        <v>6.8832000000000004</v>
      </c>
      <c r="AL45" s="946">
        <f>AG442</f>
        <v>3.3</v>
      </c>
      <c r="AM45" s="949">
        <f t="shared" si="10"/>
        <v>0.3</v>
      </c>
      <c r="AN45" s="949">
        <f t="shared" si="11"/>
        <v>11.216200000000001</v>
      </c>
      <c r="AQ45" s="951"/>
    </row>
    <row r="46" spans="1:43" ht="21.9" customHeight="1" x14ac:dyDescent="0.4">
      <c r="A46" s="846" t="s">
        <v>488</v>
      </c>
      <c r="B46" s="952"/>
      <c r="C46" s="952"/>
      <c r="D46" s="952"/>
      <c r="E46" s="952"/>
      <c r="F46" s="952"/>
      <c r="G46" s="952"/>
      <c r="H46" s="952"/>
      <c r="I46" s="952"/>
      <c r="J46" s="952"/>
      <c r="L46" s="877">
        <v>1.4</v>
      </c>
      <c r="M46" s="878" t="s">
        <v>453</v>
      </c>
      <c r="N46" s="879"/>
      <c r="O46" s="879"/>
      <c r="P46" s="880"/>
      <c r="Q46" s="877" t="s">
        <v>747</v>
      </c>
      <c r="R46" s="877">
        <v>1</v>
      </c>
      <c r="S46" s="878"/>
      <c r="T46" s="881">
        <v>0.34320000000000001</v>
      </c>
      <c r="U46" s="878"/>
      <c r="V46" s="882">
        <f t="shared" si="12"/>
        <v>762.66666666666663</v>
      </c>
      <c r="W46" s="869">
        <v>1.4</v>
      </c>
      <c r="X46" s="870" t="s">
        <v>454</v>
      </c>
      <c r="Y46" s="883"/>
      <c r="Z46" s="883"/>
      <c r="AA46" s="884"/>
      <c r="AB46" s="869" t="s">
        <v>749</v>
      </c>
      <c r="AC46" s="869">
        <v>0</v>
      </c>
      <c r="AD46" s="870"/>
      <c r="AE46" s="871">
        <v>0</v>
      </c>
      <c r="AF46" s="870"/>
      <c r="AG46" s="871">
        <f t="shared" si="13"/>
        <v>0</v>
      </c>
      <c r="AH46" s="870"/>
      <c r="AI46" s="947">
        <f t="shared" si="7"/>
        <v>10</v>
      </c>
      <c r="AJ46" s="948">
        <f t="shared" si="8"/>
        <v>0.76429999999999998</v>
      </c>
      <c r="AK46" s="949">
        <f t="shared" si="9"/>
        <v>6.6894</v>
      </c>
      <c r="AL46" s="946">
        <f>AG443</f>
        <v>3.3</v>
      </c>
      <c r="AM46" s="949">
        <f t="shared" si="10"/>
        <v>0.3</v>
      </c>
      <c r="AN46" s="949">
        <f t="shared" si="11"/>
        <v>11.053699999999999</v>
      </c>
      <c r="AO46" s="836"/>
    </row>
    <row r="47" spans="1:43" ht="21.9" customHeight="1" x14ac:dyDescent="0.35">
      <c r="A47" s="952"/>
      <c r="B47" s="952" t="s">
        <v>489</v>
      </c>
      <c r="C47" s="952"/>
      <c r="D47" s="952"/>
      <c r="E47" s="953">
        <v>0.51</v>
      </c>
      <c r="F47" s="952" t="s">
        <v>490</v>
      </c>
      <c r="G47" s="952"/>
      <c r="H47" s="952"/>
      <c r="I47" s="952"/>
      <c r="J47" s="952"/>
      <c r="L47" s="900">
        <v>2</v>
      </c>
      <c r="M47" s="901" t="s">
        <v>455</v>
      </c>
      <c r="N47" s="879"/>
      <c r="O47" s="879"/>
      <c r="P47" s="880"/>
      <c r="Q47" s="877"/>
      <c r="R47" s="877"/>
      <c r="S47" s="878"/>
      <c r="T47" s="882">
        <v>0</v>
      </c>
      <c r="U47" s="878"/>
      <c r="V47" s="882">
        <f t="shared" si="12"/>
        <v>0</v>
      </c>
      <c r="W47" s="869">
        <v>1.5</v>
      </c>
      <c r="X47" s="870" t="s">
        <v>456</v>
      </c>
      <c r="Y47" s="883"/>
      <c r="Z47" s="883"/>
      <c r="AA47" s="884"/>
      <c r="AB47" s="869" t="s">
        <v>749</v>
      </c>
      <c r="AC47" s="869">
        <v>1</v>
      </c>
      <c r="AD47" s="870"/>
      <c r="AE47" s="902">
        <v>8000</v>
      </c>
      <c r="AF47" s="870"/>
      <c r="AG47" s="902">
        <f t="shared" si="13"/>
        <v>8000</v>
      </c>
      <c r="AH47" s="870"/>
      <c r="AI47" s="947">
        <f t="shared" si="7"/>
        <v>15</v>
      </c>
      <c r="AJ47" s="948">
        <f t="shared" si="8"/>
        <v>0.76429999999999998</v>
      </c>
      <c r="AK47" s="949">
        <f t="shared" si="9"/>
        <v>2.9352</v>
      </c>
      <c r="AL47" s="946">
        <f>AG445</f>
        <v>3.4474999999999998</v>
      </c>
      <c r="AM47" s="949">
        <f t="shared" si="10"/>
        <v>0.3</v>
      </c>
      <c r="AN47" s="949">
        <f t="shared" si="11"/>
        <v>7.4470000000000001</v>
      </c>
    </row>
    <row r="48" spans="1:43" ht="21.9" customHeight="1" x14ac:dyDescent="0.35">
      <c r="A48" s="952"/>
      <c r="B48" s="952"/>
      <c r="C48" s="952" t="s">
        <v>491</v>
      </c>
      <c r="D48" s="952"/>
      <c r="E48" s="953">
        <v>0.3</v>
      </c>
      <c r="F48" s="952" t="s">
        <v>531</v>
      </c>
      <c r="G48" s="952"/>
      <c r="H48" s="952"/>
      <c r="I48" s="952"/>
      <c r="J48" s="952"/>
      <c r="L48" s="877">
        <v>2.1</v>
      </c>
      <c r="M48" s="878" t="s">
        <v>457</v>
      </c>
      <c r="N48" s="879"/>
      <c r="O48" s="879"/>
      <c r="P48" s="880"/>
      <c r="Q48" s="877" t="s">
        <v>747</v>
      </c>
      <c r="R48" s="877">
        <v>1</v>
      </c>
      <c r="S48" s="878"/>
      <c r="T48" s="881">
        <v>3.0232999999999999</v>
      </c>
      <c r="U48" s="878"/>
      <c r="V48" s="882">
        <f t="shared" si="12"/>
        <v>6718.4444444444443</v>
      </c>
      <c r="W48" s="869">
        <v>1.6</v>
      </c>
      <c r="X48" s="870" t="s">
        <v>458</v>
      </c>
      <c r="Y48" s="883"/>
      <c r="Z48" s="883"/>
      <c r="AA48" s="884"/>
      <c r="AB48" s="869" t="s">
        <v>749</v>
      </c>
      <c r="AC48" s="869">
        <v>1</v>
      </c>
      <c r="AD48" s="870"/>
      <c r="AE48" s="902">
        <v>5000</v>
      </c>
      <c r="AF48" s="870"/>
      <c r="AG48" s="902">
        <f t="shared" si="13"/>
        <v>5000</v>
      </c>
      <c r="AH48" s="870"/>
      <c r="AI48" s="947">
        <f t="shared" si="7"/>
        <v>20</v>
      </c>
      <c r="AJ48" s="948">
        <f t="shared" si="8"/>
        <v>0.77470000000000006</v>
      </c>
      <c r="AK48" s="949">
        <f t="shared" si="9"/>
        <v>2.9220999999999999</v>
      </c>
      <c r="AL48" s="946">
        <f>AG446</f>
        <v>3.4474999999999998</v>
      </c>
      <c r="AM48" s="949">
        <f t="shared" si="10"/>
        <v>0.3</v>
      </c>
      <c r="AN48" s="949">
        <f t="shared" si="11"/>
        <v>7.4443000000000001</v>
      </c>
    </row>
    <row r="49" spans="1:40" ht="21.9" customHeight="1" x14ac:dyDescent="0.35">
      <c r="A49" s="952"/>
      <c r="B49" s="952"/>
      <c r="C49" s="952" t="s">
        <v>492</v>
      </c>
      <c r="D49" s="952" t="s">
        <v>493</v>
      </c>
      <c r="E49" s="952"/>
      <c r="F49" s="954">
        <f>ROUND(($E$47*$E$48),4)</f>
        <v>0.153</v>
      </c>
      <c r="G49" s="952" t="s">
        <v>531</v>
      </c>
      <c r="H49" s="952"/>
      <c r="I49" s="952"/>
      <c r="J49" s="952"/>
      <c r="L49" s="877">
        <v>2.2000000000000002</v>
      </c>
      <c r="M49" s="878" t="s">
        <v>459</v>
      </c>
      <c r="N49" s="879"/>
      <c r="O49" s="879"/>
      <c r="P49" s="880"/>
      <c r="Q49" s="877" t="s">
        <v>747</v>
      </c>
      <c r="R49" s="877">
        <v>1</v>
      </c>
      <c r="S49" s="878"/>
      <c r="T49" s="881">
        <v>2.1528</v>
      </c>
      <c r="U49" s="878"/>
      <c r="V49" s="882">
        <f t="shared" si="12"/>
        <v>4784</v>
      </c>
      <c r="W49" s="869">
        <v>1.7</v>
      </c>
      <c r="X49" s="870" t="s">
        <v>460</v>
      </c>
      <c r="Y49" s="883"/>
      <c r="Z49" s="883"/>
      <c r="AA49" s="884"/>
      <c r="AB49" s="869" t="s">
        <v>749</v>
      </c>
      <c r="AC49" s="869">
        <v>0</v>
      </c>
      <c r="AD49" s="870"/>
      <c r="AE49" s="871">
        <v>0</v>
      </c>
      <c r="AF49" s="870"/>
      <c r="AG49" s="871">
        <f t="shared" si="13"/>
        <v>0</v>
      </c>
      <c r="AH49" s="870"/>
      <c r="AI49" s="947">
        <f t="shared" si="7"/>
        <v>25</v>
      </c>
      <c r="AJ49" s="948">
        <f t="shared" si="8"/>
        <v>0.77470000000000006</v>
      </c>
      <c r="AK49" s="949">
        <f t="shared" si="9"/>
        <v>2.9003999999999999</v>
      </c>
      <c r="AL49" s="946">
        <f>AG447</f>
        <v>3.4474999999999998</v>
      </c>
      <c r="AM49" s="949">
        <f t="shared" si="10"/>
        <v>0.3</v>
      </c>
      <c r="AN49" s="949">
        <f t="shared" si="11"/>
        <v>7.4226000000000001</v>
      </c>
    </row>
    <row r="50" spans="1:40" ht="21.9" customHeight="1" x14ac:dyDescent="0.35">
      <c r="A50" s="952"/>
      <c r="B50" s="952"/>
      <c r="C50" s="952"/>
      <c r="D50" s="952"/>
      <c r="E50" s="952"/>
      <c r="F50" s="952"/>
      <c r="G50" s="952"/>
      <c r="H50" s="952"/>
      <c r="I50" s="952"/>
      <c r="J50" s="952"/>
      <c r="L50" s="877">
        <v>2.2999999999999998</v>
      </c>
      <c r="M50" s="878" t="s">
        <v>461</v>
      </c>
      <c r="N50" s="879"/>
      <c r="O50" s="879"/>
      <c r="P50" s="880"/>
      <c r="Q50" s="877" t="s">
        <v>747</v>
      </c>
      <c r="R50" s="877">
        <v>1</v>
      </c>
      <c r="S50" s="878"/>
      <c r="T50" s="881">
        <v>2.4299999999999999E-2</v>
      </c>
      <c r="U50" s="878"/>
      <c r="V50" s="882">
        <f t="shared" si="12"/>
        <v>54</v>
      </c>
      <c r="W50" s="869">
        <v>1.8</v>
      </c>
      <c r="X50" s="870" t="s">
        <v>462</v>
      </c>
      <c r="Y50" s="845"/>
      <c r="Z50" s="845"/>
      <c r="AA50" s="868"/>
      <c r="AB50" s="869" t="s">
        <v>749</v>
      </c>
      <c r="AC50" s="869">
        <v>0</v>
      </c>
      <c r="AD50" s="870"/>
      <c r="AE50" s="871">
        <v>0</v>
      </c>
      <c r="AF50" s="870"/>
      <c r="AG50" s="871">
        <f t="shared" si="13"/>
        <v>0</v>
      </c>
      <c r="AH50" s="870"/>
      <c r="AI50" s="947">
        <f t="shared" si="7"/>
        <v>30</v>
      </c>
      <c r="AJ50" s="948">
        <f t="shared" si="8"/>
        <v>0.78510000000000002</v>
      </c>
      <c r="AK50" s="949">
        <f t="shared" si="9"/>
        <v>2.5682</v>
      </c>
      <c r="AL50" s="946">
        <f>AG449</f>
        <v>3.2364999999999999</v>
      </c>
      <c r="AM50" s="949">
        <f t="shared" si="10"/>
        <v>0.3</v>
      </c>
      <c r="AN50" s="949">
        <f t="shared" si="11"/>
        <v>6.8898000000000001</v>
      </c>
    </row>
    <row r="51" spans="1:40" ht="21.9" customHeight="1" x14ac:dyDescent="0.35">
      <c r="A51" s="952"/>
      <c r="B51" s="952" t="s">
        <v>494</v>
      </c>
      <c r="C51" s="952"/>
      <c r="D51" s="952"/>
      <c r="E51" s="953">
        <v>0.35</v>
      </c>
      <c r="F51" s="952" t="s">
        <v>490</v>
      </c>
      <c r="G51" s="952"/>
      <c r="H51" s="952"/>
      <c r="I51" s="952"/>
      <c r="J51" s="952"/>
      <c r="L51" s="877">
        <v>2.4</v>
      </c>
      <c r="M51" s="878" t="s">
        <v>463</v>
      </c>
      <c r="N51" s="879"/>
      <c r="O51" s="879"/>
      <c r="P51" s="880"/>
      <c r="Q51" s="877" t="s">
        <v>747</v>
      </c>
      <c r="R51" s="877">
        <v>1</v>
      </c>
      <c r="S51" s="878"/>
      <c r="T51" s="881">
        <v>0.23130000000000001</v>
      </c>
      <c r="U51" s="878"/>
      <c r="V51" s="882">
        <f t="shared" si="12"/>
        <v>514</v>
      </c>
      <c r="W51" s="869">
        <v>1.9</v>
      </c>
      <c r="X51" s="870" t="s">
        <v>464</v>
      </c>
      <c r="Y51" s="883"/>
      <c r="Z51" s="883"/>
      <c r="AA51" s="884"/>
      <c r="AB51" s="869" t="s">
        <v>749</v>
      </c>
      <c r="AC51" s="869">
        <v>0</v>
      </c>
      <c r="AD51" s="870"/>
      <c r="AE51" s="871">
        <v>0</v>
      </c>
      <c r="AF51" s="870"/>
      <c r="AG51" s="871">
        <f t="shared" si="13"/>
        <v>0</v>
      </c>
      <c r="AH51" s="870"/>
      <c r="AI51" s="947">
        <f t="shared" si="7"/>
        <v>40</v>
      </c>
      <c r="AJ51" s="948">
        <f t="shared" si="8"/>
        <v>0.78510000000000002</v>
      </c>
      <c r="AK51" s="949">
        <f t="shared" si="9"/>
        <v>2.3441000000000001</v>
      </c>
      <c r="AL51" s="946">
        <f>AG450</f>
        <v>3.2364999999999999</v>
      </c>
      <c r="AM51" s="949">
        <f t="shared" si="10"/>
        <v>0.3</v>
      </c>
      <c r="AN51" s="949">
        <f t="shared" si="11"/>
        <v>6.6657000000000002</v>
      </c>
    </row>
    <row r="52" spans="1:40" ht="21.9" customHeight="1" x14ac:dyDescent="0.35">
      <c r="A52" s="952"/>
      <c r="B52" s="952"/>
      <c r="C52" s="952" t="s">
        <v>491</v>
      </c>
      <c r="D52" s="952"/>
      <c r="E52" s="953">
        <v>0.3</v>
      </c>
      <c r="F52" s="952" t="s">
        <v>490</v>
      </c>
      <c r="G52" s="952"/>
      <c r="H52" s="952"/>
      <c r="I52" s="952"/>
      <c r="J52" s="952"/>
      <c r="L52" s="877" t="s">
        <v>741</v>
      </c>
      <c r="M52" s="878" t="s">
        <v>741</v>
      </c>
      <c r="N52" s="879"/>
      <c r="O52" s="879"/>
      <c r="P52" s="880"/>
      <c r="Q52" s="877" t="s">
        <v>741</v>
      </c>
      <c r="R52" s="877" t="s">
        <v>741</v>
      </c>
      <c r="S52" s="878"/>
      <c r="T52" s="882">
        <v>0</v>
      </c>
      <c r="U52" s="878" t="s">
        <v>741</v>
      </c>
      <c r="V52" s="882">
        <f t="shared" si="12"/>
        <v>0</v>
      </c>
      <c r="W52" s="869" t="s">
        <v>741</v>
      </c>
      <c r="X52" s="870" t="s">
        <v>741</v>
      </c>
      <c r="Y52" s="883"/>
      <c r="Z52" s="883"/>
      <c r="AA52" s="884"/>
      <c r="AB52" s="869" t="s">
        <v>741</v>
      </c>
      <c r="AC52" s="869" t="s">
        <v>741</v>
      </c>
      <c r="AD52" s="870"/>
      <c r="AE52" s="884"/>
      <c r="AF52" s="870"/>
      <c r="AG52" s="884"/>
      <c r="AH52" s="870"/>
      <c r="AI52" s="947">
        <f t="shared" si="7"/>
        <v>50</v>
      </c>
      <c r="AJ52" s="948">
        <f t="shared" si="8"/>
        <v>0.79549999999999998</v>
      </c>
      <c r="AK52" s="949">
        <f t="shared" si="9"/>
        <v>2.3338000000000001</v>
      </c>
      <c r="AL52" s="946">
        <f>AG451</f>
        <v>3.2364999999999999</v>
      </c>
      <c r="AM52" s="949">
        <f t="shared" si="10"/>
        <v>0.3</v>
      </c>
      <c r="AN52" s="949">
        <f t="shared" si="11"/>
        <v>6.6657999999999999</v>
      </c>
    </row>
    <row r="53" spans="1:40" ht="21.9" customHeight="1" x14ac:dyDescent="0.35">
      <c r="A53" s="952"/>
      <c r="B53" s="952"/>
      <c r="C53" s="952" t="s">
        <v>492</v>
      </c>
      <c r="D53" s="952" t="s">
        <v>495</v>
      </c>
      <c r="E53" s="952"/>
      <c r="F53" s="954">
        <f>ROUND(($E$51*$E$52),4)</f>
        <v>0.105</v>
      </c>
      <c r="G53" s="952" t="s">
        <v>531</v>
      </c>
      <c r="H53" s="952"/>
      <c r="I53" s="952"/>
      <c r="J53" s="952"/>
      <c r="L53" s="877" t="s">
        <v>741</v>
      </c>
      <c r="M53" s="878" t="s">
        <v>741</v>
      </c>
      <c r="N53" s="879"/>
      <c r="O53" s="879"/>
      <c r="P53" s="880"/>
      <c r="Q53" s="877" t="s">
        <v>741</v>
      </c>
      <c r="R53" s="877" t="s">
        <v>741</v>
      </c>
      <c r="S53" s="878"/>
      <c r="T53" s="882">
        <v>0</v>
      </c>
      <c r="U53" s="878" t="s">
        <v>741</v>
      </c>
      <c r="V53" s="882">
        <f t="shared" si="12"/>
        <v>0</v>
      </c>
      <c r="W53" s="869" t="s">
        <v>741</v>
      </c>
      <c r="X53" s="926" t="s">
        <v>260</v>
      </c>
      <c r="Y53" s="927"/>
      <c r="Z53" s="927"/>
      <c r="AA53" s="928"/>
      <c r="AB53" s="869" t="s">
        <v>741</v>
      </c>
      <c r="AC53" s="869" t="s">
        <v>741</v>
      </c>
      <c r="AD53" s="870"/>
      <c r="AE53" s="871" t="s">
        <v>741</v>
      </c>
      <c r="AF53" s="870"/>
      <c r="AG53" s="929">
        <f>SUM(AG43:AG52)</f>
        <v>13000</v>
      </c>
      <c r="AH53" s="870"/>
      <c r="AI53" s="947">
        <f t="shared" si="7"/>
        <v>60</v>
      </c>
      <c r="AJ53" s="948">
        <f t="shared" si="8"/>
        <v>0.79549999999999998</v>
      </c>
      <c r="AK53" s="949">
        <f t="shared" si="9"/>
        <v>2.1118000000000001</v>
      </c>
      <c r="AL53" s="946">
        <f>AG453</f>
        <v>3.0470999999999999</v>
      </c>
      <c r="AM53" s="949">
        <f t="shared" si="10"/>
        <v>0.3</v>
      </c>
      <c r="AN53" s="949">
        <f t="shared" si="11"/>
        <v>6.2544000000000004</v>
      </c>
    </row>
    <row r="54" spans="1:40" ht="21.9" customHeight="1" x14ac:dyDescent="0.35">
      <c r="A54" s="952"/>
      <c r="B54" s="952"/>
      <c r="C54" s="952"/>
      <c r="D54" s="952"/>
      <c r="E54" s="952"/>
      <c r="F54" s="952"/>
      <c r="G54" s="952"/>
      <c r="H54" s="952"/>
      <c r="I54" s="952"/>
      <c r="J54" s="952"/>
      <c r="L54" s="903" t="s">
        <v>260</v>
      </c>
      <c r="M54" s="904"/>
      <c r="N54" s="904"/>
      <c r="O54" s="904"/>
      <c r="P54" s="904"/>
      <c r="Q54" s="904"/>
      <c r="R54" s="904"/>
      <c r="S54" s="904"/>
      <c r="T54" s="905"/>
      <c r="U54" s="906"/>
      <c r="V54" s="907">
        <f>SUM(V43:V53)</f>
        <v>15490.444444444445</v>
      </c>
      <c r="W54" s="908" t="s">
        <v>465</v>
      </c>
      <c r="X54" s="909"/>
      <c r="Y54" s="909"/>
      <c r="Z54" s="909"/>
      <c r="AA54" s="909"/>
      <c r="AB54" s="909"/>
      <c r="AC54" s="909"/>
      <c r="AD54" s="909"/>
      <c r="AE54" s="910"/>
      <c r="AF54" s="911"/>
      <c r="AG54" s="912">
        <f>AG53/2</f>
        <v>6500</v>
      </c>
      <c r="AH54" s="870"/>
      <c r="AI54" s="947">
        <f t="shared" si="7"/>
        <v>70</v>
      </c>
      <c r="AJ54" s="948">
        <f t="shared" si="8"/>
        <v>0.81630000000000003</v>
      </c>
      <c r="AK54" s="949">
        <f t="shared" si="9"/>
        <v>2.0790999999999999</v>
      </c>
      <c r="AL54" s="946">
        <f>AG454</f>
        <v>3.0470999999999999</v>
      </c>
      <c r="AM54" s="949">
        <f t="shared" si="10"/>
        <v>0.3</v>
      </c>
      <c r="AN54" s="949">
        <f t="shared" si="11"/>
        <v>6.2424999999999997</v>
      </c>
    </row>
    <row r="55" spans="1:40" ht="21.9" customHeight="1" x14ac:dyDescent="0.35">
      <c r="A55" s="952"/>
      <c r="B55" s="955" t="s">
        <v>496</v>
      </c>
      <c r="C55" s="955"/>
      <c r="D55" s="955"/>
      <c r="E55" s="955"/>
      <c r="F55" s="955"/>
      <c r="G55" s="936"/>
      <c r="H55" s="956">
        <f>ROUND(($F$49+$F$53),4)</f>
        <v>0.25800000000000001</v>
      </c>
      <c r="I55" s="955" t="s">
        <v>485</v>
      </c>
      <c r="J55" s="955"/>
      <c r="L55" s="831"/>
      <c r="M55" s="831"/>
      <c r="N55" s="831"/>
      <c r="O55" s="831"/>
      <c r="P55" s="831"/>
      <c r="Q55" s="831"/>
      <c r="R55" s="831"/>
      <c r="S55" s="831"/>
      <c r="T55" s="831"/>
      <c r="U55" s="831"/>
      <c r="V55" s="831"/>
      <c r="AH55" s="870"/>
      <c r="AI55" s="947">
        <f t="shared" si="7"/>
        <v>80</v>
      </c>
      <c r="AJ55" s="948">
        <f t="shared" si="8"/>
        <v>0.81630000000000003</v>
      </c>
      <c r="AK55" s="949">
        <f t="shared" si="9"/>
        <v>2.0790999999999999</v>
      </c>
      <c r="AL55" s="946">
        <f>AG455</f>
        <v>3.0470999999999999</v>
      </c>
      <c r="AM55" s="949">
        <f t="shared" si="10"/>
        <v>0.3</v>
      </c>
      <c r="AN55" s="949">
        <f t="shared" si="11"/>
        <v>6.2424999999999997</v>
      </c>
    </row>
    <row r="56" spans="1:40" ht="21.9" customHeight="1" x14ac:dyDescent="0.4">
      <c r="J56" s="942"/>
      <c r="L56" s="831"/>
      <c r="M56" s="837" t="s">
        <v>497</v>
      </c>
      <c r="N56" s="837"/>
      <c r="O56" s="837"/>
      <c r="P56" s="837">
        <v>5</v>
      </c>
      <c r="Q56" s="837" t="s">
        <v>660</v>
      </c>
      <c r="R56" s="831"/>
      <c r="S56" s="838" t="s">
        <v>518</v>
      </c>
      <c r="T56" s="837">
        <f>E13</f>
        <v>12</v>
      </c>
      <c r="U56" s="839" t="s">
        <v>519</v>
      </c>
      <c r="V56" s="831"/>
      <c r="X56" s="840" t="s">
        <v>498</v>
      </c>
      <c r="Y56" s="840"/>
      <c r="Z56" s="840"/>
      <c r="AA56" s="840">
        <v>5</v>
      </c>
      <c r="AB56" s="840" t="s">
        <v>660</v>
      </c>
      <c r="AD56" s="838" t="s">
        <v>518</v>
      </c>
      <c r="AE56" s="837">
        <f>E13</f>
        <v>12</v>
      </c>
      <c r="AF56" s="839" t="s">
        <v>519</v>
      </c>
      <c r="AH56" s="870"/>
      <c r="AI56" s="947">
        <f t="shared" si="7"/>
        <v>90</v>
      </c>
      <c r="AJ56" s="948">
        <f t="shared" si="8"/>
        <v>0.81630000000000003</v>
      </c>
      <c r="AK56" s="949">
        <f t="shared" si="9"/>
        <v>1.8445</v>
      </c>
      <c r="AL56" s="946">
        <f>AG456</f>
        <v>3.0470999999999999</v>
      </c>
      <c r="AM56" s="949">
        <f t="shared" si="10"/>
        <v>0.3</v>
      </c>
      <c r="AN56" s="949">
        <f t="shared" si="11"/>
        <v>6.0079000000000002</v>
      </c>
    </row>
    <row r="57" spans="1:40" ht="21.9" customHeight="1" x14ac:dyDescent="0.4">
      <c r="J57" s="942"/>
      <c r="L57" s="847" t="s">
        <v>522</v>
      </c>
      <c r="M57" s="848" t="s">
        <v>523</v>
      </c>
      <c r="N57" s="849"/>
      <c r="O57" s="849"/>
      <c r="P57" s="850"/>
      <c r="Q57" s="847" t="s">
        <v>524</v>
      </c>
      <c r="R57" s="847" t="s">
        <v>525</v>
      </c>
      <c r="S57" s="851" t="s">
        <v>526</v>
      </c>
      <c r="T57" s="852"/>
      <c r="U57" s="851" t="s">
        <v>527</v>
      </c>
      <c r="V57" s="852"/>
      <c r="W57" s="847" t="s">
        <v>522</v>
      </c>
      <c r="X57" s="848" t="s">
        <v>523</v>
      </c>
      <c r="Y57" s="849"/>
      <c r="Z57" s="849"/>
      <c r="AA57" s="850"/>
      <c r="AB57" s="847" t="s">
        <v>524</v>
      </c>
      <c r="AC57" s="847" t="s">
        <v>525</v>
      </c>
      <c r="AD57" s="851" t="s">
        <v>528</v>
      </c>
      <c r="AE57" s="852"/>
      <c r="AF57" s="851" t="s">
        <v>529</v>
      </c>
      <c r="AG57" s="852"/>
      <c r="AH57" s="870"/>
      <c r="AI57" s="947">
        <f t="shared" si="7"/>
        <v>100</v>
      </c>
      <c r="AJ57" s="948">
        <f t="shared" si="8"/>
        <v>0.81630000000000003</v>
      </c>
      <c r="AK57" s="949">
        <f t="shared" si="9"/>
        <v>1.8445</v>
      </c>
      <c r="AL57" s="946">
        <f>AG457</f>
        <v>3.0470999999999999</v>
      </c>
      <c r="AM57" s="949">
        <f t="shared" si="10"/>
        <v>0.3</v>
      </c>
      <c r="AN57" s="949">
        <f t="shared" si="11"/>
        <v>6.0079000000000002</v>
      </c>
    </row>
    <row r="58" spans="1:40" ht="21.9" customHeight="1" x14ac:dyDescent="0.4">
      <c r="A58" s="942" t="s">
        <v>741</v>
      </c>
      <c r="B58" s="942"/>
      <c r="C58" s="942"/>
      <c r="D58" s="942"/>
      <c r="E58" s="942"/>
      <c r="F58" s="942"/>
      <c r="G58" s="942"/>
      <c r="H58" s="942"/>
      <c r="I58" s="942"/>
      <c r="J58" s="942"/>
      <c r="L58" s="854"/>
      <c r="M58" s="855"/>
      <c r="N58" s="856"/>
      <c r="O58" s="856"/>
      <c r="P58" s="857"/>
      <c r="Q58" s="854"/>
      <c r="R58" s="854"/>
      <c r="S58" s="858" t="s">
        <v>533</v>
      </c>
      <c r="T58" s="859"/>
      <c r="U58" s="858" t="s">
        <v>732</v>
      </c>
      <c r="V58" s="859"/>
      <c r="W58" s="854"/>
      <c r="X58" s="855"/>
      <c r="Y58" s="856"/>
      <c r="Z58" s="856"/>
      <c r="AA58" s="857"/>
      <c r="AB58" s="854"/>
      <c r="AC58" s="854"/>
      <c r="AD58" s="858" t="s">
        <v>733</v>
      </c>
      <c r="AE58" s="859"/>
      <c r="AF58" s="858" t="s">
        <v>732</v>
      </c>
      <c r="AG58" s="859"/>
      <c r="AH58" s="870"/>
      <c r="AI58" s="947">
        <f t="shared" si="7"/>
        <v>150</v>
      </c>
      <c r="AJ58" s="948">
        <f t="shared" si="8"/>
        <v>0.83720000000000006</v>
      </c>
      <c r="AK58" s="949">
        <f t="shared" si="9"/>
        <v>1.7203999999999999</v>
      </c>
      <c r="AL58" s="946">
        <f>AG459</f>
        <v>3.149</v>
      </c>
      <c r="AM58" s="949">
        <f t="shared" si="10"/>
        <v>0.3</v>
      </c>
      <c r="AN58" s="949">
        <f t="shared" si="11"/>
        <v>6.0065999999999997</v>
      </c>
    </row>
    <row r="59" spans="1:40" ht="21.9" customHeight="1" x14ac:dyDescent="0.4">
      <c r="A59" s="942" t="s">
        <v>741</v>
      </c>
      <c r="B59" s="942"/>
      <c r="C59" s="942"/>
      <c r="D59" s="942"/>
      <c r="E59" s="942"/>
      <c r="F59" s="942"/>
      <c r="G59" s="942"/>
      <c r="H59" s="942"/>
      <c r="I59" s="942"/>
      <c r="J59" s="942"/>
      <c r="L59" s="860">
        <v>1</v>
      </c>
      <c r="M59" s="861" t="s">
        <v>739</v>
      </c>
      <c r="N59" s="862"/>
      <c r="O59" s="862"/>
      <c r="P59" s="863"/>
      <c r="Q59" s="864"/>
      <c r="R59" s="864"/>
      <c r="S59" s="865"/>
      <c r="T59" s="863"/>
      <c r="U59" s="865"/>
      <c r="V59" s="863"/>
      <c r="W59" s="866">
        <v>1</v>
      </c>
      <c r="X59" s="867" t="s">
        <v>740</v>
      </c>
      <c r="Y59" s="845"/>
      <c r="Z59" s="845"/>
      <c r="AA59" s="868"/>
      <c r="AB59" s="869"/>
      <c r="AC59" s="869"/>
      <c r="AD59" s="870"/>
      <c r="AE59" s="871"/>
      <c r="AF59" s="870"/>
      <c r="AG59" s="872" t="s">
        <v>741</v>
      </c>
      <c r="AH59" s="870"/>
      <c r="AI59" s="947">
        <f t="shared" si="7"/>
        <v>200</v>
      </c>
      <c r="AJ59" s="948">
        <f t="shared" si="8"/>
        <v>0.85799999999999998</v>
      </c>
      <c r="AK59" s="949">
        <f t="shared" si="9"/>
        <v>1.6980999999999999</v>
      </c>
      <c r="AL59" s="946">
        <f>AG460</f>
        <v>3.149</v>
      </c>
      <c r="AM59" s="949">
        <f t="shared" si="10"/>
        <v>0.3</v>
      </c>
      <c r="AN59" s="949">
        <f t="shared" si="11"/>
        <v>6.0050999999999997</v>
      </c>
    </row>
    <row r="60" spans="1:40" ht="21.9" customHeight="1" x14ac:dyDescent="0.4">
      <c r="A60" s="942" t="s">
        <v>741</v>
      </c>
      <c r="B60" s="942"/>
      <c r="C60" s="942"/>
      <c r="D60" s="942"/>
      <c r="E60" s="942"/>
      <c r="F60" s="942"/>
      <c r="G60" s="942"/>
      <c r="H60" s="942"/>
      <c r="I60" s="942"/>
      <c r="J60" s="942"/>
      <c r="L60" s="877">
        <v>1.1000000000000001</v>
      </c>
      <c r="M60" s="878" t="s">
        <v>1437</v>
      </c>
      <c r="N60" s="879"/>
      <c r="O60" s="879"/>
      <c r="P60" s="880"/>
      <c r="Q60" s="877" t="s">
        <v>747</v>
      </c>
      <c r="R60" s="877">
        <v>1</v>
      </c>
      <c r="S60" s="878"/>
      <c r="T60" s="881">
        <v>0.32850000000000001</v>
      </c>
      <c r="U60" s="878"/>
      <c r="V60" s="882">
        <f t="shared" ref="V60:V70" si="14">((($P$56*1000000)*T60)/100)/$T$56</f>
        <v>1368.75</v>
      </c>
      <c r="W60" s="869">
        <v>1.1000000000000001</v>
      </c>
      <c r="X60" s="870" t="s">
        <v>748</v>
      </c>
      <c r="Y60" s="883"/>
      <c r="Z60" s="883"/>
      <c r="AA60" s="884"/>
      <c r="AB60" s="869" t="s">
        <v>749</v>
      </c>
      <c r="AC60" s="869">
        <v>0</v>
      </c>
      <c r="AD60" s="870"/>
      <c r="AE60" s="957">
        <v>0</v>
      </c>
      <c r="AF60" s="870"/>
      <c r="AG60" s="902">
        <f t="shared" ref="AG60:AG68" si="15">(AC60*AE60)</f>
        <v>0</v>
      </c>
      <c r="AH60" s="870"/>
      <c r="AI60" s="947">
        <f t="shared" si="7"/>
        <v>250</v>
      </c>
      <c r="AJ60" s="948">
        <f t="shared" si="8"/>
        <v>0.89970000000000006</v>
      </c>
      <c r="AK60" s="949">
        <f t="shared" si="9"/>
        <v>1.4140999999999999</v>
      </c>
      <c r="AL60" s="946">
        <f>AG461</f>
        <v>3.149</v>
      </c>
      <c r="AM60" s="949">
        <f t="shared" si="10"/>
        <v>0.3</v>
      </c>
      <c r="AN60" s="949">
        <f t="shared" si="11"/>
        <v>5.7628000000000004</v>
      </c>
    </row>
    <row r="61" spans="1:40" ht="21.9" customHeight="1" x14ac:dyDescent="0.4">
      <c r="A61" s="942" t="s">
        <v>741</v>
      </c>
      <c r="B61" s="942"/>
      <c r="C61" s="942"/>
      <c r="D61" s="942"/>
      <c r="E61" s="942"/>
      <c r="F61" s="942"/>
      <c r="G61" s="942"/>
      <c r="H61" s="942"/>
      <c r="I61" s="942"/>
      <c r="J61" s="942"/>
      <c r="L61" s="877">
        <v>1.2</v>
      </c>
      <c r="M61" s="878" t="s">
        <v>752</v>
      </c>
      <c r="N61" s="879"/>
      <c r="O61" s="879"/>
      <c r="P61" s="880"/>
      <c r="Q61" s="877" t="s">
        <v>747</v>
      </c>
      <c r="R61" s="877">
        <v>1</v>
      </c>
      <c r="S61" s="878"/>
      <c r="T61" s="881">
        <v>0.85729999999999995</v>
      </c>
      <c r="U61" s="878"/>
      <c r="V61" s="882">
        <f t="shared" si="14"/>
        <v>3572.0833333333335</v>
      </c>
      <c r="W61" s="869">
        <v>1.2</v>
      </c>
      <c r="X61" s="870" t="s">
        <v>753</v>
      </c>
      <c r="Y61" s="883"/>
      <c r="Z61" s="883"/>
      <c r="AA61" s="884"/>
      <c r="AB61" s="869" t="s">
        <v>749</v>
      </c>
      <c r="AC61" s="869">
        <v>0</v>
      </c>
      <c r="AD61" s="870"/>
      <c r="AE61" s="902">
        <v>0</v>
      </c>
      <c r="AF61" s="870"/>
      <c r="AG61" s="902">
        <f t="shared" si="15"/>
        <v>0</v>
      </c>
      <c r="AH61" s="870"/>
      <c r="AI61" s="947">
        <f t="shared" si="7"/>
        <v>300</v>
      </c>
      <c r="AJ61" s="948">
        <f t="shared" si="8"/>
        <v>0.92049999999999998</v>
      </c>
      <c r="AK61" s="949">
        <f t="shared" si="9"/>
        <v>1.3936999999999999</v>
      </c>
      <c r="AL61" s="946">
        <f>AG462</f>
        <v>3.149</v>
      </c>
      <c r="AM61" s="949">
        <f t="shared" si="10"/>
        <v>0.3</v>
      </c>
      <c r="AN61" s="949">
        <f t="shared" si="11"/>
        <v>5.7632000000000003</v>
      </c>
    </row>
    <row r="62" spans="1:40" ht="21.9" customHeight="1" x14ac:dyDescent="0.4">
      <c r="A62" s="942" t="s">
        <v>741</v>
      </c>
      <c r="B62" s="942"/>
      <c r="C62" s="942"/>
      <c r="D62" s="942"/>
      <c r="E62" s="942"/>
      <c r="F62" s="942"/>
      <c r="G62" s="942"/>
      <c r="H62" s="942"/>
      <c r="I62" s="942"/>
      <c r="J62" s="942"/>
      <c r="L62" s="877">
        <v>1.3</v>
      </c>
      <c r="M62" s="878" t="s">
        <v>754</v>
      </c>
      <c r="N62" s="879"/>
      <c r="O62" s="879"/>
      <c r="P62" s="880"/>
      <c r="Q62" s="877" t="s">
        <v>747</v>
      </c>
      <c r="R62" s="898">
        <v>1</v>
      </c>
      <c r="S62" s="878"/>
      <c r="T62" s="881">
        <v>0.01</v>
      </c>
      <c r="U62" s="878"/>
      <c r="V62" s="882">
        <f t="shared" si="14"/>
        <v>41.666666666666664</v>
      </c>
      <c r="W62" s="869">
        <v>1.3</v>
      </c>
      <c r="X62" s="870" t="s">
        <v>755</v>
      </c>
      <c r="Y62" s="883"/>
      <c r="Z62" s="883"/>
      <c r="AA62" s="884"/>
      <c r="AB62" s="869" t="s">
        <v>749</v>
      </c>
      <c r="AC62" s="869">
        <v>1</v>
      </c>
      <c r="AD62" s="870"/>
      <c r="AE62" s="902">
        <v>12000</v>
      </c>
      <c r="AF62" s="870"/>
      <c r="AG62" s="902">
        <f t="shared" si="15"/>
        <v>12000</v>
      </c>
      <c r="AH62" s="870"/>
      <c r="AI62" s="947">
        <f t="shared" si="7"/>
        <v>350</v>
      </c>
      <c r="AJ62" s="948">
        <f t="shared" si="8"/>
        <v>0.94130000000000003</v>
      </c>
      <c r="AK62" s="949">
        <f t="shared" si="9"/>
        <v>1.3547</v>
      </c>
      <c r="AL62" s="946">
        <f>AG464</f>
        <v>3.0924999999999998</v>
      </c>
      <c r="AM62" s="949">
        <f t="shared" si="10"/>
        <v>0.3</v>
      </c>
      <c r="AN62" s="949">
        <f t="shared" si="11"/>
        <v>5.6885000000000003</v>
      </c>
    </row>
    <row r="63" spans="1:40" ht="21.9" customHeight="1" x14ac:dyDescent="0.4">
      <c r="A63" s="942" t="s">
        <v>741</v>
      </c>
      <c r="B63" s="942"/>
      <c r="C63" s="942"/>
      <c r="D63" s="942"/>
      <c r="E63" s="942"/>
      <c r="F63" s="942"/>
      <c r="G63" s="942"/>
      <c r="H63" s="942"/>
      <c r="I63" s="942"/>
      <c r="J63" s="942"/>
      <c r="L63" s="877">
        <v>1.4</v>
      </c>
      <c r="M63" s="878" t="s">
        <v>453</v>
      </c>
      <c r="N63" s="879"/>
      <c r="O63" s="879"/>
      <c r="P63" s="880"/>
      <c r="Q63" s="877" t="s">
        <v>747</v>
      </c>
      <c r="R63" s="877">
        <v>1</v>
      </c>
      <c r="S63" s="878"/>
      <c r="T63" s="881">
        <v>0.34320000000000001</v>
      </c>
      <c r="U63" s="878"/>
      <c r="V63" s="882">
        <f t="shared" si="14"/>
        <v>1430</v>
      </c>
      <c r="W63" s="869">
        <v>1.4</v>
      </c>
      <c r="X63" s="870" t="s">
        <v>454</v>
      </c>
      <c r="Y63" s="883"/>
      <c r="Z63" s="883"/>
      <c r="AA63" s="884"/>
      <c r="AB63" s="869" t="s">
        <v>749</v>
      </c>
      <c r="AC63" s="869">
        <v>0</v>
      </c>
      <c r="AD63" s="870"/>
      <c r="AE63" s="902">
        <v>0</v>
      </c>
      <c r="AF63" s="870"/>
      <c r="AG63" s="902">
        <f t="shared" si="15"/>
        <v>0</v>
      </c>
      <c r="AH63" s="870"/>
      <c r="AI63" s="947">
        <f t="shared" si="7"/>
        <v>400</v>
      </c>
      <c r="AJ63" s="948">
        <f t="shared" si="8"/>
        <v>0.98299999999999998</v>
      </c>
      <c r="AK63" s="949">
        <f t="shared" si="9"/>
        <v>1.2931999999999999</v>
      </c>
      <c r="AL63" s="946">
        <f>AG465</f>
        <v>3.0924999999999998</v>
      </c>
      <c r="AM63" s="949">
        <f t="shared" si="10"/>
        <v>0.3</v>
      </c>
      <c r="AN63" s="949">
        <f t="shared" si="11"/>
        <v>5.6687000000000003</v>
      </c>
    </row>
    <row r="64" spans="1:40" ht="21.9" customHeight="1" x14ac:dyDescent="0.4">
      <c r="A64" s="942" t="s">
        <v>741</v>
      </c>
      <c r="B64" s="942"/>
      <c r="C64" s="942"/>
      <c r="D64" s="942"/>
      <c r="E64" s="942"/>
      <c r="F64" s="942"/>
      <c r="G64" s="942"/>
      <c r="H64" s="942"/>
      <c r="I64" s="942"/>
      <c r="J64" s="942"/>
      <c r="L64" s="900">
        <v>2</v>
      </c>
      <c r="M64" s="901" t="s">
        <v>455</v>
      </c>
      <c r="N64" s="879"/>
      <c r="O64" s="879"/>
      <c r="P64" s="880"/>
      <c r="Q64" s="877"/>
      <c r="R64" s="877"/>
      <c r="S64" s="878"/>
      <c r="T64" s="882">
        <v>0</v>
      </c>
      <c r="U64" s="878"/>
      <c r="V64" s="882">
        <f t="shared" si="14"/>
        <v>0</v>
      </c>
      <c r="W64" s="869">
        <v>1.5</v>
      </c>
      <c r="X64" s="870" t="s">
        <v>456</v>
      </c>
      <c r="Y64" s="883"/>
      <c r="Z64" s="883"/>
      <c r="AA64" s="884"/>
      <c r="AB64" s="869" t="s">
        <v>749</v>
      </c>
      <c r="AC64" s="869">
        <v>1</v>
      </c>
      <c r="AD64" s="870"/>
      <c r="AE64" s="902">
        <v>8000</v>
      </c>
      <c r="AF64" s="870"/>
      <c r="AG64" s="902">
        <f t="shared" si="15"/>
        <v>8000</v>
      </c>
      <c r="AH64" s="870"/>
      <c r="AI64" s="947">
        <f t="shared" si="7"/>
        <v>500</v>
      </c>
      <c r="AJ64" s="948">
        <f t="shared" si="8"/>
        <v>0.98299999999999998</v>
      </c>
      <c r="AK64" s="949">
        <f t="shared" si="9"/>
        <v>1.2931999999999999</v>
      </c>
      <c r="AL64" s="946">
        <f>AG466</f>
        <v>3.0924999999999998</v>
      </c>
      <c r="AM64" s="949">
        <f t="shared" si="10"/>
        <v>0.3</v>
      </c>
      <c r="AN64" s="949">
        <f t="shared" si="11"/>
        <v>5.6687000000000003</v>
      </c>
    </row>
    <row r="65" spans="1:40" ht="21.9" customHeight="1" x14ac:dyDescent="0.4">
      <c r="A65" s="942" t="s">
        <v>741</v>
      </c>
      <c r="B65" s="942"/>
      <c r="C65" s="942"/>
      <c r="D65" s="942"/>
      <c r="E65" s="942"/>
      <c r="F65" s="942"/>
      <c r="G65" s="942"/>
      <c r="H65" s="942"/>
      <c r="I65" s="942"/>
      <c r="J65" s="942"/>
      <c r="L65" s="877">
        <v>2.1</v>
      </c>
      <c r="M65" s="878" t="s">
        <v>457</v>
      </c>
      <c r="N65" s="879"/>
      <c r="O65" s="879"/>
      <c r="P65" s="880"/>
      <c r="Q65" s="877" t="s">
        <v>747</v>
      </c>
      <c r="R65" s="877">
        <v>1</v>
      </c>
      <c r="S65" s="878"/>
      <c r="T65" s="881">
        <v>2.9358</v>
      </c>
      <c r="U65" s="878"/>
      <c r="V65" s="882">
        <f t="shared" si="14"/>
        <v>12232.5</v>
      </c>
      <c r="W65" s="869">
        <v>1.6</v>
      </c>
      <c r="X65" s="870" t="s">
        <v>458</v>
      </c>
      <c r="Y65" s="883"/>
      <c r="Z65" s="883"/>
      <c r="AA65" s="884"/>
      <c r="AB65" s="869" t="s">
        <v>749</v>
      </c>
      <c r="AC65" s="869">
        <v>1</v>
      </c>
      <c r="AD65" s="870"/>
      <c r="AE65" s="902">
        <v>5000</v>
      </c>
      <c r="AF65" s="870"/>
      <c r="AG65" s="902">
        <f t="shared" si="15"/>
        <v>5000</v>
      </c>
      <c r="AH65" s="917" t="str">
        <f>A33</f>
        <v>&gt;</v>
      </c>
      <c r="AI65" s="958">
        <f t="shared" si="7"/>
        <v>1000</v>
      </c>
      <c r="AJ65" s="959">
        <f t="shared" si="8"/>
        <v>1.0246999999999999</v>
      </c>
      <c r="AK65" s="959">
        <f t="shared" si="9"/>
        <v>1.1931</v>
      </c>
      <c r="AL65" s="959">
        <f>AG468</f>
        <v>2.5424000000000002</v>
      </c>
      <c r="AM65" s="959">
        <f t="shared" si="10"/>
        <v>0.3</v>
      </c>
      <c r="AN65" s="959">
        <f t="shared" si="11"/>
        <v>5.0602</v>
      </c>
    </row>
    <row r="66" spans="1:40" ht="21.9" customHeight="1" x14ac:dyDescent="0.4">
      <c r="A66" s="942" t="s">
        <v>741</v>
      </c>
      <c r="B66" s="942"/>
      <c r="C66" s="942"/>
      <c r="D66" s="942"/>
      <c r="E66" s="942"/>
      <c r="F66" s="942"/>
      <c r="G66" s="942"/>
      <c r="H66" s="942"/>
      <c r="I66" s="942"/>
      <c r="J66" s="942"/>
      <c r="L66" s="877">
        <v>2.2000000000000002</v>
      </c>
      <c r="M66" s="878" t="s">
        <v>459</v>
      </c>
      <c r="N66" s="879"/>
      <c r="O66" s="879"/>
      <c r="P66" s="880"/>
      <c r="Q66" s="877" t="s">
        <v>747</v>
      </c>
      <c r="R66" s="877">
        <v>1</v>
      </c>
      <c r="S66" s="878"/>
      <c r="T66" s="881">
        <v>2.1528</v>
      </c>
      <c r="U66" s="878"/>
      <c r="V66" s="882">
        <f t="shared" si="14"/>
        <v>8970</v>
      </c>
      <c r="W66" s="869">
        <v>1.7</v>
      </c>
      <c r="X66" s="870" t="s">
        <v>460</v>
      </c>
      <c r="Y66" s="883"/>
      <c r="Z66" s="883"/>
      <c r="AA66" s="884"/>
      <c r="AB66" s="869" t="s">
        <v>749</v>
      </c>
      <c r="AC66" s="869">
        <v>0</v>
      </c>
      <c r="AD66" s="870"/>
      <c r="AE66" s="902">
        <v>0</v>
      </c>
      <c r="AF66" s="870"/>
      <c r="AG66" s="902">
        <f t="shared" si="15"/>
        <v>0</v>
      </c>
    </row>
    <row r="67" spans="1:40" ht="21.9" customHeight="1" x14ac:dyDescent="0.4">
      <c r="A67" s="942" t="s">
        <v>741</v>
      </c>
      <c r="B67" s="942"/>
      <c r="C67" s="942"/>
      <c r="D67" s="942"/>
      <c r="E67" s="942"/>
      <c r="F67" s="942"/>
      <c r="G67" s="942"/>
      <c r="H67" s="942"/>
      <c r="I67" s="942"/>
      <c r="J67" s="942"/>
      <c r="L67" s="877">
        <v>2.2999999999999998</v>
      </c>
      <c r="M67" s="878" t="s">
        <v>461</v>
      </c>
      <c r="N67" s="879"/>
      <c r="O67" s="879"/>
      <c r="P67" s="880"/>
      <c r="Q67" s="877" t="s">
        <v>747</v>
      </c>
      <c r="R67" s="877">
        <v>1</v>
      </c>
      <c r="S67" s="878"/>
      <c r="T67" s="881">
        <v>2.4299999999999999E-2</v>
      </c>
      <c r="U67" s="878"/>
      <c r="V67" s="882">
        <f t="shared" si="14"/>
        <v>101.25</v>
      </c>
      <c r="W67" s="869">
        <v>1.8</v>
      </c>
      <c r="X67" s="870" t="s">
        <v>462</v>
      </c>
      <c r="Y67" s="845"/>
      <c r="Z67" s="845"/>
      <c r="AA67" s="868"/>
      <c r="AB67" s="869" t="s">
        <v>749</v>
      </c>
      <c r="AC67" s="869">
        <v>0</v>
      </c>
      <c r="AD67" s="870"/>
      <c r="AE67" s="902">
        <v>0</v>
      </c>
      <c r="AF67" s="870"/>
      <c r="AG67" s="902">
        <f t="shared" si="15"/>
        <v>0</v>
      </c>
    </row>
    <row r="68" spans="1:40" ht="21.9" customHeight="1" x14ac:dyDescent="0.4">
      <c r="A68" s="942" t="s">
        <v>741</v>
      </c>
      <c r="B68" s="942"/>
      <c r="C68" s="942"/>
      <c r="D68" s="942"/>
      <c r="E68" s="942"/>
      <c r="F68" s="942"/>
      <c r="G68" s="942"/>
      <c r="H68" s="942"/>
      <c r="I68" s="942"/>
      <c r="J68" s="942"/>
      <c r="L68" s="877">
        <v>2.4</v>
      </c>
      <c r="M68" s="878" t="s">
        <v>463</v>
      </c>
      <c r="N68" s="879"/>
      <c r="O68" s="879"/>
      <c r="P68" s="880"/>
      <c r="Q68" s="877" t="s">
        <v>747</v>
      </c>
      <c r="R68" s="877">
        <v>1</v>
      </c>
      <c r="S68" s="878"/>
      <c r="T68" s="881">
        <v>0.23130000000000001</v>
      </c>
      <c r="U68" s="878"/>
      <c r="V68" s="882">
        <f t="shared" si="14"/>
        <v>963.75</v>
      </c>
      <c r="W68" s="869">
        <v>1.9</v>
      </c>
      <c r="X68" s="870" t="s">
        <v>464</v>
      </c>
      <c r="Y68" s="883"/>
      <c r="Z68" s="883"/>
      <c r="AA68" s="884"/>
      <c r="AB68" s="869" t="s">
        <v>749</v>
      </c>
      <c r="AC68" s="869">
        <v>0</v>
      </c>
      <c r="AD68" s="870"/>
      <c r="AE68" s="902">
        <v>0</v>
      </c>
      <c r="AF68" s="870"/>
      <c r="AG68" s="902">
        <f t="shared" si="15"/>
        <v>0</v>
      </c>
    </row>
    <row r="69" spans="1:40" ht="21.9" customHeight="1" x14ac:dyDescent="0.4">
      <c r="A69" s="942" t="s">
        <v>741</v>
      </c>
      <c r="B69" s="942"/>
      <c r="C69" s="942"/>
      <c r="D69" s="942"/>
      <c r="E69" s="942"/>
      <c r="F69" s="942"/>
      <c r="G69" s="942"/>
      <c r="H69" s="942"/>
      <c r="I69" s="942"/>
      <c r="J69" s="942"/>
      <c r="L69" s="877" t="s">
        <v>741</v>
      </c>
      <c r="M69" s="878" t="s">
        <v>741</v>
      </c>
      <c r="N69" s="879"/>
      <c r="O69" s="879"/>
      <c r="P69" s="880"/>
      <c r="Q69" s="877" t="s">
        <v>741</v>
      </c>
      <c r="R69" s="877" t="s">
        <v>741</v>
      </c>
      <c r="S69" s="878"/>
      <c r="T69" s="882">
        <v>0</v>
      </c>
      <c r="U69" s="878" t="s">
        <v>741</v>
      </c>
      <c r="V69" s="882">
        <f t="shared" si="14"/>
        <v>0</v>
      </c>
      <c r="W69" s="869" t="s">
        <v>741</v>
      </c>
      <c r="X69" s="870" t="s">
        <v>741</v>
      </c>
      <c r="Y69" s="883"/>
      <c r="Z69" s="883"/>
      <c r="AA69" s="884"/>
      <c r="AB69" s="869" t="s">
        <v>741</v>
      </c>
      <c r="AC69" s="869" t="s">
        <v>741</v>
      </c>
      <c r="AD69" s="870"/>
      <c r="AE69" s="884"/>
      <c r="AF69" s="870"/>
      <c r="AG69" s="884"/>
    </row>
    <row r="70" spans="1:40" ht="21.9" customHeight="1" x14ac:dyDescent="0.4">
      <c r="A70" s="942" t="s">
        <v>741</v>
      </c>
      <c r="B70" s="942"/>
      <c r="C70" s="942"/>
      <c r="D70" s="942"/>
      <c r="E70" s="942"/>
      <c r="F70" s="942"/>
      <c r="G70" s="942"/>
      <c r="H70" s="942"/>
      <c r="I70" s="942"/>
      <c r="J70" s="942"/>
      <c r="L70" s="877" t="s">
        <v>741</v>
      </c>
      <c r="M70" s="878" t="s">
        <v>741</v>
      </c>
      <c r="N70" s="879"/>
      <c r="O70" s="879"/>
      <c r="P70" s="880"/>
      <c r="Q70" s="877" t="s">
        <v>741</v>
      </c>
      <c r="R70" s="877" t="s">
        <v>741</v>
      </c>
      <c r="S70" s="878"/>
      <c r="T70" s="882">
        <v>0</v>
      </c>
      <c r="U70" s="878" t="s">
        <v>741</v>
      </c>
      <c r="V70" s="882">
        <f t="shared" si="14"/>
        <v>0</v>
      </c>
      <c r="W70" s="869" t="s">
        <v>741</v>
      </c>
      <c r="X70" s="926" t="s">
        <v>260</v>
      </c>
      <c r="Y70" s="927"/>
      <c r="Z70" s="927"/>
      <c r="AA70" s="928"/>
      <c r="AB70" s="869" t="s">
        <v>741</v>
      </c>
      <c r="AC70" s="869" t="s">
        <v>741</v>
      </c>
      <c r="AD70" s="870"/>
      <c r="AE70" s="871" t="s">
        <v>741</v>
      </c>
      <c r="AF70" s="870"/>
      <c r="AG70" s="902">
        <f>SUM(AG60:AG69)</f>
        <v>25000</v>
      </c>
    </row>
    <row r="71" spans="1:40" ht="21.9" customHeight="1" x14ac:dyDescent="0.4">
      <c r="A71" s="942" t="s">
        <v>741</v>
      </c>
      <c r="B71" s="942"/>
      <c r="C71" s="942"/>
      <c r="D71" s="942"/>
      <c r="E71" s="942"/>
      <c r="F71" s="942"/>
      <c r="G71" s="942"/>
      <c r="H71" s="942"/>
      <c r="I71" s="942"/>
      <c r="J71" s="942"/>
      <c r="L71" s="903" t="s">
        <v>260</v>
      </c>
      <c r="M71" s="904"/>
      <c r="N71" s="904"/>
      <c r="O71" s="904"/>
      <c r="P71" s="904"/>
      <c r="Q71" s="904"/>
      <c r="R71" s="904"/>
      <c r="S71" s="904"/>
      <c r="T71" s="905"/>
      <c r="U71" s="906"/>
      <c r="V71" s="907">
        <f>SUM(V60:V70)</f>
        <v>28680</v>
      </c>
      <c r="W71" s="908" t="s">
        <v>465</v>
      </c>
      <c r="X71" s="909"/>
      <c r="Y71" s="909"/>
      <c r="Z71" s="909"/>
      <c r="AA71" s="909"/>
      <c r="AB71" s="909"/>
      <c r="AC71" s="909"/>
      <c r="AD71" s="909"/>
      <c r="AE71" s="910"/>
      <c r="AF71" s="911"/>
      <c r="AG71" s="912">
        <f>AG70/2</f>
        <v>12500</v>
      </c>
    </row>
    <row r="72" spans="1:40" ht="21.9" customHeight="1" x14ac:dyDescent="0.4">
      <c r="A72" s="942" t="s">
        <v>741</v>
      </c>
      <c r="B72" s="942"/>
      <c r="C72" s="942"/>
      <c r="D72" s="942"/>
      <c r="E72" s="942"/>
      <c r="F72" s="942"/>
      <c r="G72" s="942"/>
      <c r="H72" s="942"/>
      <c r="I72" s="942"/>
      <c r="J72" s="942"/>
      <c r="M72" s="896"/>
      <c r="N72" s="896"/>
      <c r="O72" s="896"/>
      <c r="P72" s="896"/>
      <c r="Q72" s="896"/>
      <c r="R72" s="896"/>
      <c r="S72" s="896"/>
      <c r="T72" s="896"/>
      <c r="U72" s="896"/>
      <c r="V72" s="896"/>
      <c r="X72" s="896"/>
      <c r="Y72" s="896"/>
      <c r="Z72" s="896"/>
      <c r="AA72" s="896"/>
      <c r="AB72" s="896"/>
      <c r="AC72" s="896"/>
      <c r="AD72" s="896"/>
      <c r="AE72" s="896"/>
      <c r="AF72" s="896"/>
      <c r="AG72" s="896"/>
    </row>
    <row r="73" spans="1:40" ht="21.9" customHeight="1" x14ac:dyDescent="0.35">
      <c r="A73" s="828" t="s">
        <v>499</v>
      </c>
      <c r="B73" s="828"/>
      <c r="C73" s="828"/>
      <c r="D73" s="828"/>
      <c r="E73" s="828"/>
      <c r="F73" s="828"/>
      <c r="G73" s="828"/>
      <c r="H73" s="828"/>
      <c r="I73" s="828"/>
      <c r="J73" s="828"/>
      <c r="L73" s="930" t="s">
        <v>500</v>
      </c>
      <c r="M73" s="930"/>
      <c r="N73" s="930"/>
      <c r="O73" s="930"/>
      <c r="P73" s="930"/>
      <c r="Q73" s="930"/>
      <c r="R73" s="930"/>
      <c r="S73" s="930"/>
      <c r="T73" s="930"/>
      <c r="U73" s="930"/>
      <c r="V73" s="930"/>
      <c r="W73" s="930" t="s">
        <v>501</v>
      </c>
      <c r="X73" s="930"/>
      <c r="Y73" s="930"/>
      <c r="Z73" s="930"/>
      <c r="AA73" s="930"/>
      <c r="AB73" s="930"/>
      <c r="AC73" s="930"/>
      <c r="AD73" s="930"/>
      <c r="AE73" s="930"/>
      <c r="AF73" s="930"/>
      <c r="AG73" s="930"/>
    </row>
    <row r="74" spans="1:40" ht="21.9" customHeight="1" x14ac:dyDescent="0.4">
      <c r="A74" s="942" t="s">
        <v>741</v>
      </c>
      <c r="B74" s="942"/>
      <c r="C74" s="942"/>
      <c r="D74" s="942"/>
      <c r="E74" s="942"/>
      <c r="F74" s="942"/>
      <c r="G74" s="942"/>
      <c r="H74" s="942"/>
      <c r="I74" s="942"/>
      <c r="J74" s="942"/>
      <c r="L74" s="831"/>
      <c r="M74" s="831"/>
      <c r="N74" s="831"/>
      <c r="O74" s="831"/>
      <c r="P74" s="831"/>
      <c r="Q74" s="831"/>
      <c r="R74" s="831"/>
      <c r="S74" s="831"/>
      <c r="T74" s="831"/>
      <c r="U74" s="831"/>
      <c r="V74" s="831"/>
      <c r="W74" s="831"/>
      <c r="X74" s="831"/>
      <c r="Y74" s="831"/>
      <c r="Z74" s="831"/>
      <c r="AA74" s="831"/>
      <c r="AB74" s="831"/>
      <c r="AC74" s="831"/>
      <c r="AD74" s="831"/>
      <c r="AE74" s="831"/>
      <c r="AF74" s="831"/>
      <c r="AG74" s="831"/>
    </row>
    <row r="75" spans="1:40" ht="21.9" customHeight="1" x14ac:dyDescent="0.4">
      <c r="A75" s="960" t="s">
        <v>502</v>
      </c>
      <c r="B75" s="960"/>
      <c r="C75" s="960"/>
      <c r="D75" s="960"/>
      <c r="E75" s="960"/>
      <c r="F75" s="960"/>
      <c r="G75" s="960"/>
      <c r="H75" s="960"/>
      <c r="I75" s="960"/>
      <c r="J75" s="960"/>
      <c r="L75" s="831"/>
      <c r="M75" s="837" t="s">
        <v>503</v>
      </c>
      <c r="N75" s="837"/>
      <c r="O75" s="837"/>
      <c r="P75" s="837">
        <v>10</v>
      </c>
      <c r="Q75" s="837" t="s">
        <v>660</v>
      </c>
      <c r="R75" s="831"/>
      <c r="S75" s="838" t="s">
        <v>518</v>
      </c>
      <c r="T75" s="837">
        <f>E14</f>
        <v>15</v>
      </c>
      <c r="U75" s="839" t="s">
        <v>519</v>
      </c>
      <c r="V75" s="831"/>
      <c r="X75" s="840" t="s">
        <v>504</v>
      </c>
      <c r="Y75" s="840"/>
      <c r="Z75" s="840"/>
      <c r="AA75" s="840">
        <v>10</v>
      </c>
      <c r="AB75" s="841" t="s">
        <v>660</v>
      </c>
      <c r="AC75" s="883"/>
      <c r="AD75" s="842" t="s">
        <v>518</v>
      </c>
      <c r="AE75" s="837">
        <f>E14</f>
        <v>15</v>
      </c>
      <c r="AF75" s="844" t="s">
        <v>519</v>
      </c>
    </row>
    <row r="76" spans="1:40" ht="21.9" customHeight="1" x14ac:dyDescent="0.35">
      <c r="A76" s="961" t="s">
        <v>478</v>
      </c>
      <c r="B76" s="962"/>
      <c r="C76" s="961" t="s">
        <v>505</v>
      </c>
      <c r="D76" s="962"/>
      <c r="E76" s="961" t="s">
        <v>506</v>
      </c>
      <c r="F76" s="962"/>
      <c r="G76" s="963" t="s">
        <v>507</v>
      </c>
      <c r="H76" s="961" t="s">
        <v>508</v>
      </c>
      <c r="I76" s="962"/>
      <c r="J76" s="964" t="s">
        <v>260</v>
      </c>
      <c r="L76" s="847" t="s">
        <v>522</v>
      </c>
      <c r="M76" s="848" t="s">
        <v>523</v>
      </c>
      <c r="N76" s="849"/>
      <c r="O76" s="849"/>
      <c r="P76" s="850"/>
      <c r="Q76" s="847" t="s">
        <v>524</v>
      </c>
      <c r="R76" s="847" t="s">
        <v>525</v>
      </c>
      <c r="S76" s="851" t="s">
        <v>526</v>
      </c>
      <c r="T76" s="852"/>
      <c r="U76" s="851" t="s">
        <v>527</v>
      </c>
      <c r="V76" s="852"/>
      <c r="W76" s="847" t="s">
        <v>522</v>
      </c>
      <c r="X76" s="848" t="s">
        <v>523</v>
      </c>
      <c r="Y76" s="849"/>
      <c r="Z76" s="849"/>
      <c r="AA76" s="850"/>
      <c r="AB76" s="847" t="s">
        <v>524</v>
      </c>
      <c r="AC76" s="847" t="s">
        <v>525</v>
      </c>
      <c r="AD76" s="851" t="s">
        <v>528</v>
      </c>
      <c r="AE76" s="852"/>
      <c r="AF76" s="851" t="s">
        <v>529</v>
      </c>
      <c r="AG76" s="852"/>
    </row>
    <row r="77" spans="1:40" ht="21.9" customHeight="1" x14ac:dyDescent="0.35">
      <c r="A77" s="965" t="s">
        <v>660</v>
      </c>
      <c r="B77" s="966"/>
      <c r="C77" s="965" t="s">
        <v>509</v>
      </c>
      <c r="D77" s="966"/>
      <c r="E77" s="965" t="s">
        <v>510</v>
      </c>
      <c r="F77" s="966"/>
      <c r="G77" s="967" t="s">
        <v>511</v>
      </c>
      <c r="H77" s="968" t="s">
        <v>512</v>
      </c>
      <c r="I77" s="969"/>
      <c r="J77" s="970" t="s">
        <v>650</v>
      </c>
      <c r="L77" s="854"/>
      <c r="M77" s="855"/>
      <c r="N77" s="856"/>
      <c r="O77" s="856"/>
      <c r="P77" s="857"/>
      <c r="Q77" s="854"/>
      <c r="R77" s="854"/>
      <c r="S77" s="858" t="s">
        <v>533</v>
      </c>
      <c r="T77" s="859"/>
      <c r="U77" s="858" t="s">
        <v>732</v>
      </c>
      <c r="V77" s="859"/>
      <c r="W77" s="854"/>
      <c r="X77" s="855"/>
      <c r="Y77" s="856"/>
      <c r="Z77" s="856"/>
      <c r="AA77" s="857"/>
      <c r="AB77" s="854"/>
      <c r="AC77" s="854"/>
      <c r="AD77" s="858" t="s">
        <v>733</v>
      </c>
      <c r="AE77" s="859"/>
      <c r="AF77" s="858" t="s">
        <v>732</v>
      </c>
      <c r="AG77" s="859"/>
    </row>
    <row r="78" spans="1:40" ht="21.9" customHeight="1" x14ac:dyDescent="0.4">
      <c r="A78" s="971" t="s">
        <v>267</v>
      </c>
      <c r="B78" s="972">
        <f t="shared" ref="B78:B101" si="16">B10</f>
        <v>0.5</v>
      </c>
      <c r="C78" s="973"/>
      <c r="D78" s="974">
        <f t="shared" ref="D78:D101" si="17">J10</f>
        <v>6.25E-2</v>
      </c>
      <c r="E78" s="973"/>
      <c r="F78" s="974">
        <f t="shared" ref="F78:F101" si="18">$H$41</f>
        <v>0.25</v>
      </c>
      <c r="G78" s="975">
        <f t="shared" ref="G78:G101" si="19">$H$44</f>
        <v>0.1</v>
      </c>
      <c r="H78" s="973"/>
      <c r="I78" s="974">
        <f t="shared" ref="I78:I101" si="20">$H$55</f>
        <v>0.25800000000000001</v>
      </c>
      <c r="J78" s="976">
        <f t="shared" ref="J78:J101" si="21">ROUND((D78+F78+G78+I78),4)</f>
        <v>0.67049999999999998</v>
      </c>
      <c r="L78" s="860">
        <v>1</v>
      </c>
      <c r="M78" s="861" t="s">
        <v>739</v>
      </c>
      <c r="N78" s="862"/>
      <c r="O78" s="862"/>
      <c r="P78" s="863"/>
      <c r="Q78" s="864"/>
      <c r="R78" s="864"/>
      <c r="S78" s="865"/>
      <c r="T78" s="863"/>
      <c r="U78" s="865"/>
      <c r="V78" s="863"/>
      <c r="W78" s="866">
        <v>1</v>
      </c>
      <c r="X78" s="867" t="s">
        <v>740</v>
      </c>
      <c r="Y78" s="845"/>
      <c r="Z78" s="845"/>
      <c r="AA78" s="868"/>
      <c r="AB78" s="869"/>
      <c r="AC78" s="869"/>
      <c r="AD78" s="870"/>
      <c r="AE78" s="871"/>
      <c r="AF78" s="870"/>
      <c r="AG78" s="872" t="s">
        <v>741</v>
      </c>
    </row>
    <row r="79" spans="1:40" ht="21.9" customHeight="1" x14ac:dyDescent="0.4">
      <c r="A79" s="977"/>
      <c r="B79" s="978">
        <f t="shared" si="16"/>
        <v>1</v>
      </c>
      <c r="C79" s="979"/>
      <c r="D79" s="980">
        <f t="shared" si="17"/>
        <v>6.25E-2</v>
      </c>
      <c r="E79" s="981"/>
      <c r="F79" s="980">
        <f t="shared" si="18"/>
        <v>0.25</v>
      </c>
      <c r="G79" s="982">
        <f t="shared" si="19"/>
        <v>0.1</v>
      </c>
      <c r="H79" s="981"/>
      <c r="I79" s="980">
        <f t="shared" si="20"/>
        <v>0.25800000000000001</v>
      </c>
      <c r="J79" s="983">
        <f t="shared" si="21"/>
        <v>0.67049999999999998</v>
      </c>
      <c r="L79" s="877">
        <v>1.1000000000000001</v>
      </c>
      <c r="M79" s="878" t="s">
        <v>1437</v>
      </c>
      <c r="N79" s="879"/>
      <c r="O79" s="879"/>
      <c r="P79" s="880"/>
      <c r="Q79" s="877" t="s">
        <v>747</v>
      </c>
      <c r="R79" s="877">
        <v>1</v>
      </c>
      <c r="S79" s="878"/>
      <c r="T79" s="881">
        <v>0.32850000000000001</v>
      </c>
      <c r="U79" s="878"/>
      <c r="V79" s="882">
        <f t="shared" ref="V79:V89" si="22">((($P$75*1000000)*T79)/100)/$T$75</f>
        <v>2190</v>
      </c>
      <c r="W79" s="869">
        <v>1.1000000000000001</v>
      </c>
      <c r="X79" s="870" t="s">
        <v>748</v>
      </c>
      <c r="Y79" s="883"/>
      <c r="Z79" s="883"/>
      <c r="AA79" s="884"/>
      <c r="AB79" s="869" t="s">
        <v>749</v>
      </c>
      <c r="AC79" s="869">
        <v>0</v>
      </c>
      <c r="AD79" s="870"/>
      <c r="AE79" s="957">
        <v>0</v>
      </c>
      <c r="AF79" s="870"/>
      <c r="AG79" s="902">
        <f t="shared" ref="AG79:AG87" si="23">(AC79*AE79)</f>
        <v>0</v>
      </c>
    </row>
    <row r="80" spans="1:40" ht="21.9" customHeight="1" x14ac:dyDescent="0.4">
      <c r="A80" s="977"/>
      <c r="B80" s="978">
        <f t="shared" si="16"/>
        <v>2</v>
      </c>
      <c r="C80" s="979"/>
      <c r="D80" s="980">
        <f t="shared" si="17"/>
        <v>9.3799999999999994E-2</v>
      </c>
      <c r="E80" s="981"/>
      <c r="F80" s="980">
        <f t="shared" si="18"/>
        <v>0.25</v>
      </c>
      <c r="G80" s="982">
        <f t="shared" si="19"/>
        <v>0.1</v>
      </c>
      <c r="H80" s="981"/>
      <c r="I80" s="980">
        <f t="shared" si="20"/>
        <v>0.25800000000000001</v>
      </c>
      <c r="J80" s="983">
        <f t="shared" si="21"/>
        <v>0.70179999999999998</v>
      </c>
      <c r="L80" s="877">
        <v>1.2</v>
      </c>
      <c r="M80" s="878" t="s">
        <v>752</v>
      </c>
      <c r="N80" s="879"/>
      <c r="O80" s="879"/>
      <c r="P80" s="880"/>
      <c r="Q80" s="877" t="s">
        <v>747</v>
      </c>
      <c r="R80" s="877">
        <v>1</v>
      </c>
      <c r="S80" s="878"/>
      <c r="T80" s="881">
        <v>0.85729999999999995</v>
      </c>
      <c r="U80" s="878"/>
      <c r="V80" s="882">
        <f t="shared" si="22"/>
        <v>5715.333333333333</v>
      </c>
      <c r="W80" s="869">
        <v>1.2</v>
      </c>
      <c r="X80" s="870" t="s">
        <v>753</v>
      </c>
      <c r="Y80" s="883"/>
      <c r="Z80" s="883"/>
      <c r="AA80" s="884"/>
      <c r="AB80" s="869" t="s">
        <v>749</v>
      </c>
      <c r="AC80" s="869">
        <v>0</v>
      </c>
      <c r="AD80" s="870"/>
      <c r="AE80" s="902">
        <v>0</v>
      </c>
      <c r="AF80" s="870"/>
      <c r="AG80" s="902">
        <f t="shared" si="23"/>
        <v>0</v>
      </c>
    </row>
    <row r="81" spans="1:33" ht="21.9" customHeight="1" x14ac:dyDescent="0.4">
      <c r="A81" s="977"/>
      <c r="B81" s="978">
        <f t="shared" si="16"/>
        <v>5</v>
      </c>
      <c r="C81" s="979"/>
      <c r="D81" s="980">
        <f t="shared" si="17"/>
        <v>0.125</v>
      </c>
      <c r="E81" s="979"/>
      <c r="F81" s="980">
        <f t="shared" si="18"/>
        <v>0.25</v>
      </c>
      <c r="G81" s="982">
        <f t="shared" si="19"/>
        <v>0.1</v>
      </c>
      <c r="H81" s="979"/>
      <c r="I81" s="980">
        <f t="shared" si="20"/>
        <v>0.25800000000000001</v>
      </c>
      <c r="J81" s="983">
        <f t="shared" si="21"/>
        <v>0.73299999999999998</v>
      </c>
      <c r="L81" s="877">
        <v>1.3</v>
      </c>
      <c r="M81" s="878" t="s">
        <v>754</v>
      </c>
      <c r="N81" s="879"/>
      <c r="O81" s="879"/>
      <c r="P81" s="880"/>
      <c r="Q81" s="877" t="s">
        <v>747</v>
      </c>
      <c r="R81" s="898">
        <v>1</v>
      </c>
      <c r="S81" s="878"/>
      <c r="T81" s="881">
        <v>0.01</v>
      </c>
      <c r="U81" s="878"/>
      <c r="V81" s="882">
        <f t="shared" si="22"/>
        <v>66.666666666666671</v>
      </c>
      <c r="W81" s="869">
        <v>1.3</v>
      </c>
      <c r="X81" s="870" t="s">
        <v>755</v>
      </c>
      <c r="Y81" s="883"/>
      <c r="Z81" s="883"/>
      <c r="AA81" s="884"/>
      <c r="AB81" s="869" t="s">
        <v>749</v>
      </c>
      <c r="AC81" s="869">
        <v>1</v>
      </c>
      <c r="AD81" s="870"/>
      <c r="AE81" s="902">
        <v>12000</v>
      </c>
      <c r="AF81" s="870"/>
      <c r="AG81" s="902">
        <f t="shared" si="23"/>
        <v>12000</v>
      </c>
    </row>
    <row r="82" spans="1:33" ht="21.9" customHeight="1" x14ac:dyDescent="0.4">
      <c r="A82" s="977"/>
      <c r="B82" s="978">
        <f t="shared" si="16"/>
        <v>10</v>
      </c>
      <c r="C82" s="979"/>
      <c r="D82" s="980">
        <f t="shared" si="17"/>
        <v>0.15629999999999999</v>
      </c>
      <c r="E82" s="979"/>
      <c r="F82" s="980">
        <f t="shared" si="18"/>
        <v>0.25</v>
      </c>
      <c r="G82" s="982">
        <f t="shared" si="19"/>
        <v>0.1</v>
      </c>
      <c r="H82" s="979"/>
      <c r="I82" s="980">
        <f t="shared" si="20"/>
        <v>0.25800000000000001</v>
      </c>
      <c r="J82" s="983">
        <f t="shared" si="21"/>
        <v>0.76429999999999998</v>
      </c>
      <c r="L82" s="877">
        <v>1.4</v>
      </c>
      <c r="M82" s="878" t="s">
        <v>453</v>
      </c>
      <c r="N82" s="879"/>
      <c r="O82" s="879"/>
      <c r="P82" s="880"/>
      <c r="Q82" s="877" t="s">
        <v>747</v>
      </c>
      <c r="R82" s="877">
        <v>1</v>
      </c>
      <c r="S82" s="878"/>
      <c r="T82" s="881">
        <v>0.34320000000000001</v>
      </c>
      <c r="U82" s="878"/>
      <c r="V82" s="882">
        <f t="shared" si="22"/>
        <v>2288</v>
      </c>
      <c r="W82" s="869">
        <v>1.4</v>
      </c>
      <c r="X82" s="870" t="s">
        <v>454</v>
      </c>
      <c r="Y82" s="883"/>
      <c r="Z82" s="883"/>
      <c r="AA82" s="884"/>
      <c r="AB82" s="869" t="s">
        <v>749</v>
      </c>
      <c r="AC82" s="869">
        <v>0</v>
      </c>
      <c r="AD82" s="870"/>
      <c r="AE82" s="902">
        <v>0</v>
      </c>
      <c r="AF82" s="870"/>
      <c r="AG82" s="902">
        <f t="shared" si="23"/>
        <v>0</v>
      </c>
    </row>
    <row r="83" spans="1:33" ht="21.9" customHeight="1" x14ac:dyDescent="0.4">
      <c r="A83" s="977"/>
      <c r="B83" s="978">
        <f t="shared" si="16"/>
        <v>15</v>
      </c>
      <c r="C83" s="979"/>
      <c r="D83" s="980">
        <f t="shared" si="17"/>
        <v>0.15629999999999999</v>
      </c>
      <c r="E83" s="979"/>
      <c r="F83" s="980">
        <f t="shared" si="18"/>
        <v>0.25</v>
      </c>
      <c r="G83" s="982">
        <f t="shared" si="19"/>
        <v>0.1</v>
      </c>
      <c r="H83" s="979"/>
      <c r="I83" s="980">
        <f t="shared" si="20"/>
        <v>0.25800000000000001</v>
      </c>
      <c r="J83" s="983">
        <f t="shared" si="21"/>
        <v>0.76429999999999998</v>
      </c>
      <c r="L83" s="900">
        <v>2</v>
      </c>
      <c r="M83" s="901" t="s">
        <v>455</v>
      </c>
      <c r="N83" s="879"/>
      <c r="O83" s="879"/>
      <c r="P83" s="880"/>
      <c r="Q83" s="877"/>
      <c r="R83" s="877"/>
      <c r="S83" s="878"/>
      <c r="T83" s="882">
        <v>0</v>
      </c>
      <c r="U83" s="878"/>
      <c r="V83" s="882">
        <f t="shared" si="22"/>
        <v>0</v>
      </c>
      <c r="W83" s="869">
        <v>1.5</v>
      </c>
      <c r="X83" s="870" t="s">
        <v>456</v>
      </c>
      <c r="Y83" s="883"/>
      <c r="Z83" s="883"/>
      <c r="AA83" s="884"/>
      <c r="AB83" s="869" t="s">
        <v>749</v>
      </c>
      <c r="AC83" s="869">
        <v>1</v>
      </c>
      <c r="AD83" s="870"/>
      <c r="AE83" s="902">
        <v>8000</v>
      </c>
      <c r="AF83" s="870"/>
      <c r="AG83" s="902">
        <f t="shared" si="23"/>
        <v>8000</v>
      </c>
    </row>
    <row r="84" spans="1:33" ht="21.9" customHeight="1" x14ac:dyDescent="0.4">
      <c r="A84" s="977"/>
      <c r="B84" s="978">
        <f t="shared" si="16"/>
        <v>20</v>
      </c>
      <c r="C84" s="979"/>
      <c r="D84" s="980">
        <f t="shared" si="17"/>
        <v>0.16669999999999999</v>
      </c>
      <c r="E84" s="979"/>
      <c r="F84" s="980">
        <f t="shared" si="18"/>
        <v>0.25</v>
      </c>
      <c r="G84" s="982">
        <f t="shared" si="19"/>
        <v>0.1</v>
      </c>
      <c r="H84" s="979"/>
      <c r="I84" s="980">
        <f t="shared" si="20"/>
        <v>0.25800000000000001</v>
      </c>
      <c r="J84" s="983">
        <f t="shared" si="21"/>
        <v>0.77470000000000006</v>
      </c>
      <c r="L84" s="877">
        <v>2.1</v>
      </c>
      <c r="M84" s="878" t="s">
        <v>457</v>
      </c>
      <c r="N84" s="879"/>
      <c r="O84" s="879"/>
      <c r="P84" s="880"/>
      <c r="Q84" s="877" t="s">
        <v>747</v>
      </c>
      <c r="R84" s="877">
        <v>1</v>
      </c>
      <c r="S84" s="878"/>
      <c r="T84" s="881">
        <v>2.8833000000000002</v>
      </c>
      <c r="U84" s="878"/>
      <c r="V84" s="882">
        <f t="shared" si="22"/>
        <v>19222.000000000004</v>
      </c>
      <c r="W84" s="869">
        <v>1.6</v>
      </c>
      <c r="X84" s="870" t="s">
        <v>458</v>
      </c>
      <c r="Y84" s="883"/>
      <c r="Z84" s="883"/>
      <c r="AA84" s="884"/>
      <c r="AB84" s="869" t="s">
        <v>749</v>
      </c>
      <c r="AC84" s="869">
        <v>1</v>
      </c>
      <c r="AD84" s="870"/>
      <c r="AE84" s="902">
        <v>5000</v>
      </c>
      <c r="AF84" s="870"/>
      <c r="AG84" s="902">
        <f t="shared" si="23"/>
        <v>5000</v>
      </c>
    </row>
    <row r="85" spans="1:33" ht="21.9" customHeight="1" x14ac:dyDescent="0.4">
      <c r="A85" s="977"/>
      <c r="B85" s="978">
        <f t="shared" si="16"/>
        <v>25</v>
      </c>
      <c r="C85" s="979"/>
      <c r="D85" s="980">
        <f t="shared" si="17"/>
        <v>0.16669999999999999</v>
      </c>
      <c r="E85" s="979"/>
      <c r="F85" s="980">
        <f t="shared" si="18"/>
        <v>0.25</v>
      </c>
      <c r="G85" s="982">
        <f t="shared" si="19"/>
        <v>0.1</v>
      </c>
      <c r="H85" s="979"/>
      <c r="I85" s="980">
        <f t="shared" si="20"/>
        <v>0.25800000000000001</v>
      </c>
      <c r="J85" s="983">
        <f t="shared" si="21"/>
        <v>0.77470000000000006</v>
      </c>
      <c r="L85" s="877">
        <v>2.2000000000000002</v>
      </c>
      <c r="M85" s="878" t="s">
        <v>459</v>
      </c>
      <c r="N85" s="879"/>
      <c r="O85" s="879"/>
      <c r="P85" s="880"/>
      <c r="Q85" s="877" t="s">
        <v>747</v>
      </c>
      <c r="R85" s="877">
        <v>1</v>
      </c>
      <c r="S85" s="878"/>
      <c r="T85" s="881">
        <v>2.1528</v>
      </c>
      <c r="U85" s="878"/>
      <c r="V85" s="882">
        <f t="shared" si="22"/>
        <v>14352</v>
      </c>
      <c r="W85" s="869">
        <v>1.7</v>
      </c>
      <c r="X85" s="870" t="s">
        <v>460</v>
      </c>
      <c r="Y85" s="883"/>
      <c r="Z85" s="883"/>
      <c r="AA85" s="884"/>
      <c r="AB85" s="869" t="s">
        <v>749</v>
      </c>
      <c r="AC85" s="869">
        <v>0</v>
      </c>
      <c r="AD85" s="870"/>
      <c r="AE85" s="902">
        <v>0</v>
      </c>
      <c r="AF85" s="870"/>
      <c r="AG85" s="902">
        <f t="shared" si="23"/>
        <v>0</v>
      </c>
    </row>
    <row r="86" spans="1:33" ht="21.9" customHeight="1" x14ac:dyDescent="0.4">
      <c r="A86" s="977"/>
      <c r="B86" s="978">
        <f t="shared" si="16"/>
        <v>30</v>
      </c>
      <c r="C86" s="979"/>
      <c r="D86" s="980">
        <f t="shared" si="17"/>
        <v>0.17710000000000001</v>
      </c>
      <c r="E86" s="979"/>
      <c r="F86" s="980">
        <f t="shared" si="18"/>
        <v>0.25</v>
      </c>
      <c r="G86" s="982">
        <f t="shared" si="19"/>
        <v>0.1</v>
      </c>
      <c r="H86" s="979"/>
      <c r="I86" s="980">
        <f t="shared" si="20"/>
        <v>0.25800000000000001</v>
      </c>
      <c r="J86" s="983">
        <f t="shared" si="21"/>
        <v>0.78510000000000002</v>
      </c>
      <c r="L86" s="877">
        <v>2.2999999999999998</v>
      </c>
      <c r="M86" s="878" t="s">
        <v>461</v>
      </c>
      <c r="N86" s="879"/>
      <c r="O86" s="879"/>
      <c r="P86" s="880"/>
      <c r="Q86" s="877" t="s">
        <v>747</v>
      </c>
      <c r="R86" s="877">
        <v>1</v>
      </c>
      <c r="S86" s="878"/>
      <c r="T86" s="881">
        <v>2.4299999999999999E-2</v>
      </c>
      <c r="U86" s="878"/>
      <c r="V86" s="882">
        <f t="shared" si="22"/>
        <v>162</v>
      </c>
      <c r="W86" s="869">
        <v>1.8</v>
      </c>
      <c r="X86" s="870" t="s">
        <v>462</v>
      </c>
      <c r="Y86" s="845"/>
      <c r="Z86" s="845"/>
      <c r="AA86" s="868"/>
      <c r="AB86" s="869" t="s">
        <v>749</v>
      </c>
      <c r="AC86" s="869">
        <v>0</v>
      </c>
      <c r="AD86" s="870"/>
      <c r="AE86" s="902">
        <v>0</v>
      </c>
      <c r="AF86" s="870"/>
      <c r="AG86" s="902">
        <f t="shared" si="23"/>
        <v>0</v>
      </c>
    </row>
    <row r="87" spans="1:33" ht="21.9" customHeight="1" x14ac:dyDescent="0.4">
      <c r="A87" s="977"/>
      <c r="B87" s="978">
        <f t="shared" si="16"/>
        <v>40</v>
      </c>
      <c r="C87" s="979"/>
      <c r="D87" s="980">
        <f t="shared" si="17"/>
        <v>0.17710000000000001</v>
      </c>
      <c r="E87" s="979"/>
      <c r="F87" s="980">
        <f t="shared" si="18"/>
        <v>0.25</v>
      </c>
      <c r="G87" s="982">
        <f t="shared" si="19"/>
        <v>0.1</v>
      </c>
      <c r="H87" s="979"/>
      <c r="I87" s="980">
        <f t="shared" si="20"/>
        <v>0.25800000000000001</v>
      </c>
      <c r="J87" s="983">
        <f t="shared" si="21"/>
        <v>0.78510000000000002</v>
      </c>
      <c r="L87" s="877">
        <v>2.4</v>
      </c>
      <c r="M87" s="878" t="s">
        <v>463</v>
      </c>
      <c r="N87" s="879"/>
      <c r="O87" s="879"/>
      <c r="P87" s="880"/>
      <c r="Q87" s="877" t="s">
        <v>747</v>
      </c>
      <c r="R87" s="877">
        <v>1</v>
      </c>
      <c r="S87" s="878"/>
      <c r="T87" s="881">
        <v>0.09</v>
      </c>
      <c r="U87" s="878"/>
      <c r="V87" s="882">
        <f t="shared" si="22"/>
        <v>600</v>
      </c>
      <c r="W87" s="869">
        <v>1.9</v>
      </c>
      <c r="X87" s="870" t="s">
        <v>464</v>
      </c>
      <c r="Y87" s="883"/>
      <c r="Z87" s="883"/>
      <c r="AA87" s="884"/>
      <c r="AB87" s="869" t="s">
        <v>749</v>
      </c>
      <c r="AC87" s="869">
        <v>0</v>
      </c>
      <c r="AD87" s="870"/>
      <c r="AE87" s="902">
        <v>0</v>
      </c>
      <c r="AF87" s="870"/>
      <c r="AG87" s="902">
        <f t="shared" si="23"/>
        <v>0</v>
      </c>
    </row>
    <row r="88" spans="1:33" ht="21.9" customHeight="1" x14ac:dyDescent="0.4">
      <c r="A88" s="977"/>
      <c r="B88" s="978">
        <f t="shared" si="16"/>
        <v>50</v>
      </c>
      <c r="C88" s="979"/>
      <c r="D88" s="980">
        <f t="shared" si="17"/>
        <v>0.1875</v>
      </c>
      <c r="E88" s="979"/>
      <c r="F88" s="980">
        <f t="shared" si="18"/>
        <v>0.25</v>
      </c>
      <c r="G88" s="982">
        <f t="shared" si="19"/>
        <v>0.1</v>
      </c>
      <c r="H88" s="979"/>
      <c r="I88" s="980">
        <f t="shared" si="20"/>
        <v>0.25800000000000001</v>
      </c>
      <c r="J88" s="983">
        <f t="shared" si="21"/>
        <v>0.79549999999999998</v>
      </c>
      <c r="L88" s="877" t="s">
        <v>741</v>
      </c>
      <c r="M88" s="878" t="s">
        <v>741</v>
      </c>
      <c r="N88" s="879"/>
      <c r="O88" s="879"/>
      <c r="P88" s="880"/>
      <c r="Q88" s="877" t="s">
        <v>741</v>
      </c>
      <c r="R88" s="877" t="s">
        <v>741</v>
      </c>
      <c r="S88" s="878"/>
      <c r="T88" s="882">
        <v>0</v>
      </c>
      <c r="U88" s="878" t="s">
        <v>741</v>
      </c>
      <c r="V88" s="882">
        <f t="shared" si="22"/>
        <v>0</v>
      </c>
      <c r="W88" s="869" t="s">
        <v>741</v>
      </c>
      <c r="X88" s="870" t="s">
        <v>741</v>
      </c>
      <c r="Y88" s="883"/>
      <c r="Z88" s="883"/>
      <c r="AA88" s="884"/>
      <c r="AB88" s="869" t="s">
        <v>741</v>
      </c>
      <c r="AC88" s="869" t="s">
        <v>741</v>
      </c>
      <c r="AD88" s="870"/>
      <c r="AE88" s="884"/>
      <c r="AF88" s="870"/>
      <c r="AG88" s="884"/>
    </row>
    <row r="89" spans="1:33" ht="21.9" customHeight="1" x14ac:dyDescent="0.4">
      <c r="A89" s="977"/>
      <c r="B89" s="978">
        <f t="shared" si="16"/>
        <v>60</v>
      </c>
      <c r="C89" s="979"/>
      <c r="D89" s="980">
        <f t="shared" si="17"/>
        <v>0.1875</v>
      </c>
      <c r="E89" s="979"/>
      <c r="F89" s="980">
        <f t="shared" si="18"/>
        <v>0.25</v>
      </c>
      <c r="G89" s="982">
        <f t="shared" si="19"/>
        <v>0.1</v>
      </c>
      <c r="H89" s="979"/>
      <c r="I89" s="980">
        <f t="shared" si="20"/>
        <v>0.25800000000000001</v>
      </c>
      <c r="J89" s="983">
        <f t="shared" si="21"/>
        <v>0.79549999999999998</v>
      </c>
      <c r="L89" s="877" t="s">
        <v>741</v>
      </c>
      <c r="M89" s="878" t="s">
        <v>741</v>
      </c>
      <c r="N89" s="879"/>
      <c r="O89" s="879"/>
      <c r="P89" s="880"/>
      <c r="Q89" s="877" t="s">
        <v>741</v>
      </c>
      <c r="R89" s="877" t="s">
        <v>741</v>
      </c>
      <c r="S89" s="878"/>
      <c r="T89" s="882">
        <v>0</v>
      </c>
      <c r="U89" s="878" t="s">
        <v>741</v>
      </c>
      <c r="V89" s="882">
        <f t="shared" si="22"/>
        <v>0</v>
      </c>
      <c r="W89" s="869" t="s">
        <v>741</v>
      </c>
      <c r="X89" s="926" t="s">
        <v>260</v>
      </c>
      <c r="Y89" s="927"/>
      <c r="Z89" s="927"/>
      <c r="AA89" s="928"/>
      <c r="AB89" s="869" t="s">
        <v>741</v>
      </c>
      <c r="AC89" s="869" t="s">
        <v>741</v>
      </c>
      <c r="AD89" s="870"/>
      <c r="AE89" s="871" t="s">
        <v>741</v>
      </c>
      <c r="AF89" s="870"/>
      <c r="AG89" s="929">
        <f>SUM(AG79:AG88)</f>
        <v>25000</v>
      </c>
    </row>
    <row r="90" spans="1:33" ht="21.9" customHeight="1" x14ac:dyDescent="0.4">
      <c r="A90" s="977"/>
      <c r="B90" s="978">
        <f t="shared" si="16"/>
        <v>70</v>
      </c>
      <c r="C90" s="979"/>
      <c r="D90" s="980">
        <f t="shared" si="17"/>
        <v>0.20830000000000001</v>
      </c>
      <c r="E90" s="979"/>
      <c r="F90" s="980">
        <f t="shared" si="18"/>
        <v>0.25</v>
      </c>
      <c r="G90" s="982">
        <f t="shared" si="19"/>
        <v>0.1</v>
      </c>
      <c r="H90" s="979"/>
      <c r="I90" s="980">
        <f t="shared" si="20"/>
        <v>0.25800000000000001</v>
      </c>
      <c r="J90" s="983">
        <f t="shared" si="21"/>
        <v>0.81630000000000003</v>
      </c>
      <c r="L90" s="903" t="s">
        <v>260</v>
      </c>
      <c r="M90" s="904"/>
      <c r="N90" s="904"/>
      <c r="O90" s="904"/>
      <c r="P90" s="904"/>
      <c r="Q90" s="904"/>
      <c r="R90" s="904"/>
      <c r="S90" s="904"/>
      <c r="T90" s="905"/>
      <c r="U90" s="906"/>
      <c r="V90" s="907">
        <f>SUM(V79:V89)</f>
        <v>44596</v>
      </c>
      <c r="W90" s="908" t="s">
        <v>465</v>
      </c>
      <c r="X90" s="909"/>
      <c r="Y90" s="909"/>
      <c r="Z90" s="909"/>
      <c r="AA90" s="909"/>
      <c r="AB90" s="909"/>
      <c r="AC90" s="909"/>
      <c r="AD90" s="909"/>
      <c r="AE90" s="910"/>
      <c r="AF90" s="911"/>
      <c r="AG90" s="912">
        <f>AG89/2</f>
        <v>12500</v>
      </c>
    </row>
    <row r="91" spans="1:33" ht="21.9" customHeight="1" x14ac:dyDescent="0.4">
      <c r="A91" s="977"/>
      <c r="B91" s="978">
        <f t="shared" si="16"/>
        <v>80</v>
      </c>
      <c r="C91" s="979"/>
      <c r="D91" s="980">
        <f t="shared" si="17"/>
        <v>0.20830000000000001</v>
      </c>
      <c r="E91" s="979"/>
      <c r="F91" s="980">
        <f t="shared" si="18"/>
        <v>0.25</v>
      </c>
      <c r="G91" s="982">
        <f t="shared" si="19"/>
        <v>0.1</v>
      </c>
      <c r="H91" s="979"/>
      <c r="I91" s="980">
        <f t="shared" si="20"/>
        <v>0.25800000000000001</v>
      </c>
      <c r="J91" s="983">
        <f t="shared" si="21"/>
        <v>0.81630000000000003</v>
      </c>
      <c r="L91" s="984" t="s">
        <v>741</v>
      </c>
      <c r="M91" s="862" t="s">
        <v>741</v>
      </c>
      <c r="N91" s="862"/>
      <c r="O91" s="862"/>
      <c r="P91" s="862"/>
      <c r="Q91" s="984" t="s">
        <v>741</v>
      </c>
      <c r="R91" s="984" t="s">
        <v>741</v>
      </c>
      <c r="S91" s="862"/>
      <c r="T91" s="985" t="s">
        <v>741</v>
      </c>
      <c r="U91" s="862"/>
      <c r="V91" s="985" t="s">
        <v>741</v>
      </c>
    </row>
    <row r="92" spans="1:33" ht="21.9" customHeight="1" x14ac:dyDescent="0.4">
      <c r="A92" s="977"/>
      <c r="B92" s="978">
        <f t="shared" si="16"/>
        <v>90</v>
      </c>
      <c r="C92" s="979"/>
      <c r="D92" s="980">
        <f t="shared" si="17"/>
        <v>0.20830000000000001</v>
      </c>
      <c r="E92" s="979"/>
      <c r="F92" s="980">
        <f t="shared" si="18"/>
        <v>0.25</v>
      </c>
      <c r="G92" s="982">
        <f t="shared" si="19"/>
        <v>0.1</v>
      </c>
      <c r="H92" s="979"/>
      <c r="I92" s="980">
        <f t="shared" si="20"/>
        <v>0.25800000000000001</v>
      </c>
      <c r="J92" s="983">
        <f t="shared" si="21"/>
        <v>0.81630000000000003</v>
      </c>
      <c r="L92" s="831"/>
      <c r="M92" s="837" t="s">
        <v>513</v>
      </c>
      <c r="N92" s="837"/>
      <c r="O92" s="837"/>
      <c r="P92" s="837">
        <v>15</v>
      </c>
      <c r="Q92" s="837" t="s">
        <v>660</v>
      </c>
      <c r="R92" s="831"/>
      <c r="S92" s="838" t="s">
        <v>518</v>
      </c>
      <c r="T92" s="837">
        <f>E15</f>
        <v>15</v>
      </c>
      <c r="U92" s="839" t="s">
        <v>519</v>
      </c>
      <c r="V92" s="831"/>
      <c r="X92" s="840" t="s">
        <v>514</v>
      </c>
      <c r="Y92" s="840"/>
      <c r="Z92" s="840"/>
      <c r="AA92" s="840">
        <v>15</v>
      </c>
      <c r="AB92" s="840" t="s">
        <v>660</v>
      </c>
      <c r="AC92" s="837">
        <f>E15</f>
        <v>15</v>
      </c>
      <c r="AD92" s="838" t="s">
        <v>518</v>
      </c>
      <c r="AE92" s="837">
        <f>E15</f>
        <v>15</v>
      </c>
      <c r="AF92" s="839" t="s">
        <v>519</v>
      </c>
    </row>
    <row r="93" spans="1:33" ht="21.9" customHeight="1" x14ac:dyDescent="0.4">
      <c r="A93" s="977"/>
      <c r="B93" s="978">
        <f t="shared" si="16"/>
        <v>100</v>
      </c>
      <c r="C93" s="979"/>
      <c r="D93" s="980">
        <f t="shared" si="17"/>
        <v>0.20830000000000001</v>
      </c>
      <c r="E93" s="979"/>
      <c r="F93" s="980">
        <f t="shared" si="18"/>
        <v>0.25</v>
      </c>
      <c r="G93" s="982">
        <f t="shared" si="19"/>
        <v>0.1</v>
      </c>
      <c r="H93" s="979"/>
      <c r="I93" s="980">
        <f t="shared" si="20"/>
        <v>0.25800000000000001</v>
      </c>
      <c r="J93" s="983">
        <f t="shared" si="21"/>
        <v>0.81630000000000003</v>
      </c>
      <c r="L93" s="847" t="s">
        <v>522</v>
      </c>
      <c r="M93" s="848" t="s">
        <v>523</v>
      </c>
      <c r="N93" s="849"/>
      <c r="O93" s="849"/>
      <c r="P93" s="850"/>
      <c r="Q93" s="847" t="s">
        <v>524</v>
      </c>
      <c r="R93" s="847" t="s">
        <v>525</v>
      </c>
      <c r="S93" s="851" t="s">
        <v>526</v>
      </c>
      <c r="T93" s="852"/>
      <c r="U93" s="851" t="s">
        <v>527</v>
      </c>
      <c r="V93" s="852"/>
      <c r="W93" s="847" t="s">
        <v>522</v>
      </c>
      <c r="X93" s="848" t="s">
        <v>523</v>
      </c>
      <c r="Y93" s="849"/>
      <c r="Z93" s="849"/>
      <c r="AA93" s="850"/>
      <c r="AB93" s="847" t="s">
        <v>524</v>
      </c>
      <c r="AC93" s="847" t="s">
        <v>525</v>
      </c>
      <c r="AD93" s="851" t="s">
        <v>528</v>
      </c>
      <c r="AE93" s="852"/>
      <c r="AF93" s="851" t="s">
        <v>529</v>
      </c>
      <c r="AG93" s="852"/>
    </row>
    <row r="94" spans="1:33" ht="21.9" customHeight="1" x14ac:dyDescent="0.4">
      <c r="A94" s="977"/>
      <c r="B94" s="978">
        <f t="shared" si="16"/>
        <v>150</v>
      </c>
      <c r="C94" s="979"/>
      <c r="D94" s="980">
        <f t="shared" si="17"/>
        <v>0.22919999999999999</v>
      </c>
      <c r="E94" s="979"/>
      <c r="F94" s="980">
        <f t="shared" si="18"/>
        <v>0.25</v>
      </c>
      <c r="G94" s="982">
        <f t="shared" si="19"/>
        <v>0.1</v>
      </c>
      <c r="H94" s="979"/>
      <c r="I94" s="980">
        <f t="shared" si="20"/>
        <v>0.25800000000000001</v>
      </c>
      <c r="J94" s="983">
        <f t="shared" si="21"/>
        <v>0.83720000000000006</v>
      </c>
      <c r="L94" s="854"/>
      <c r="M94" s="855"/>
      <c r="N94" s="856"/>
      <c r="O94" s="856"/>
      <c r="P94" s="857"/>
      <c r="Q94" s="854"/>
      <c r="R94" s="854"/>
      <c r="S94" s="858" t="s">
        <v>533</v>
      </c>
      <c r="T94" s="859"/>
      <c r="U94" s="858" t="s">
        <v>732</v>
      </c>
      <c r="V94" s="859"/>
      <c r="W94" s="854"/>
      <c r="X94" s="855"/>
      <c r="Y94" s="856"/>
      <c r="Z94" s="856"/>
      <c r="AA94" s="857"/>
      <c r="AB94" s="854"/>
      <c r="AC94" s="854"/>
      <c r="AD94" s="858" t="s">
        <v>733</v>
      </c>
      <c r="AE94" s="859"/>
      <c r="AF94" s="858" t="s">
        <v>732</v>
      </c>
      <c r="AG94" s="859"/>
    </row>
    <row r="95" spans="1:33" ht="21.9" customHeight="1" x14ac:dyDescent="0.4">
      <c r="A95" s="977"/>
      <c r="B95" s="978">
        <f t="shared" si="16"/>
        <v>200</v>
      </c>
      <c r="C95" s="979"/>
      <c r="D95" s="980">
        <f t="shared" si="17"/>
        <v>0.25</v>
      </c>
      <c r="E95" s="979"/>
      <c r="F95" s="980">
        <f t="shared" si="18"/>
        <v>0.25</v>
      </c>
      <c r="G95" s="982">
        <f t="shared" si="19"/>
        <v>0.1</v>
      </c>
      <c r="H95" s="979"/>
      <c r="I95" s="980">
        <f t="shared" si="20"/>
        <v>0.25800000000000001</v>
      </c>
      <c r="J95" s="983">
        <f t="shared" si="21"/>
        <v>0.85799999999999998</v>
      </c>
      <c r="L95" s="860">
        <v>1</v>
      </c>
      <c r="M95" s="861" t="s">
        <v>739</v>
      </c>
      <c r="N95" s="862"/>
      <c r="O95" s="862"/>
      <c r="P95" s="863"/>
      <c r="Q95" s="864"/>
      <c r="R95" s="864"/>
      <c r="S95" s="865"/>
      <c r="T95" s="863"/>
      <c r="U95" s="865"/>
      <c r="V95" s="863"/>
      <c r="W95" s="866">
        <v>1</v>
      </c>
      <c r="X95" s="867" t="s">
        <v>740</v>
      </c>
      <c r="Y95" s="845"/>
      <c r="Z95" s="845"/>
      <c r="AA95" s="868"/>
      <c r="AB95" s="869"/>
      <c r="AC95" s="869"/>
      <c r="AD95" s="870"/>
      <c r="AE95" s="871"/>
      <c r="AF95" s="870"/>
      <c r="AG95" s="872" t="s">
        <v>741</v>
      </c>
    </row>
    <row r="96" spans="1:33" ht="21.9" customHeight="1" x14ac:dyDescent="0.4">
      <c r="A96" s="977"/>
      <c r="B96" s="978">
        <f t="shared" si="16"/>
        <v>250</v>
      </c>
      <c r="C96" s="979"/>
      <c r="D96" s="980">
        <f t="shared" si="17"/>
        <v>0.29170000000000001</v>
      </c>
      <c r="E96" s="979"/>
      <c r="F96" s="980">
        <f t="shared" si="18"/>
        <v>0.25</v>
      </c>
      <c r="G96" s="982">
        <f t="shared" si="19"/>
        <v>0.1</v>
      </c>
      <c r="H96" s="979"/>
      <c r="I96" s="980">
        <f t="shared" si="20"/>
        <v>0.25800000000000001</v>
      </c>
      <c r="J96" s="983">
        <f t="shared" si="21"/>
        <v>0.89970000000000006</v>
      </c>
      <c r="L96" s="877">
        <v>1.1000000000000001</v>
      </c>
      <c r="M96" s="878" t="s">
        <v>1437</v>
      </c>
      <c r="N96" s="879"/>
      <c r="O96" s="879"/>
      <c r="P96" s="880"/>
      <c r="Q96" s="877" t="s">
        <v>747</v>
      </c>
      <c r="R96" s="877">
        <v>1</v>
      </c>
      <c r="S96" s="878"/>
      <c r="T96" s="881">
        <v>8.1100000000000005E-2</v>
      </c>
      <c r="U96" s="878"/>
      <c r="V96" s="882">
        <f t="shared" ref="V96:V106" si="24">((($P$92*1000000)*T96)/100)/$T$92</f>
        <v>811</v>
      </c>
      <c r="W96" s="869">
        <v>1.1000000000000001</v>
      </c>
      <c r="X96" s="870" t="s">
        <v>748</v>
      </c>
      <c r="Y96" s="883"/>
      <c r="Z96" s="883"/>
      <c r="AA96" s="884"/>
      <c r="AB96" s="869" t="s">
        <v>749</v>
      </c>
      <c r="AC96" s="869">
        <v>0</v>
      </c>
      <c r="AD96" s="870"/>
      <c r="AE96" s="957">
        <v>0</v>
      </c>
      <c r="AF96" s="870"/>
      <c r="AG96" s="902">
        <f t="shared" ref="AG96:AG104" si="25">(AC96*AE96)</f>
        <v>0</v>
      </c>
    </row>
    <row r="97" spans="1:35" ht="21.9" customHeight="1" x14ac:dyDescent="0.4">
      <c r="A97" s="977"/>
      <c r="B97" s="978">
        <f t="shared" si="16"/>
        <v>300</v>
      </c>
      <c r="C97" s="979"/>
      <c r="D97" s="980">
        <f t="shared" si="17"/>
        <v>0.3125</v>
      </c>
      <c r="E97" s="979"/>
      <c r="F97" s="980">
        <f t="shared" si="18"/>
        <v>0.25</v>
      </c>
      <c r="G97" s="982">
        <f t="shared" si="19"/>
        <v>0.1</v>
      </c>
      <c r="H97" s="979"/>
      <c r="I97" s="980">
        <f t="shared" si="20"/>
        <v>0.25800000000000001</v>
      </c>
      <c r="J97" s="983">
        <f t="shared" si="21"/>
        <v>0.92049999999999998</v>
      </c>
      <c r="L97" s="877">
        <v>1.2</v>
      </c>
      <c r="M97" s="878" t="s">
        <v>752</v>
      </c>
      <c r="N97" s="879"/>
      <c r="O97" s="879"/>
      <c r="P97" s="880"/>
      <c r="Q97" s="877" t="s">
        <v>747</v>
      </c>
      <c r="R97" s="877">
        <v>1</v>
      </c>
      <c r="S97" s="878"/>
      <c r="T97" s="881">
        <v>0.85729999999999995</v>
      </c>
      <c r="U97" s="878"/>
      <c r="V97" s="882">
        <f t="shared" si="24"/>
        <v>8573</v>
      </c>
      <c r="W97" s="869">
        <v>1.2</v>
      </c>
      <c r="X97" s="870" t="s">
        <v>753</v>
      </c>
      <c r="Y97" s="883"/>
      <c r="Z97" s="883"/>
      <c r="AA97" s="884"/>
      <c r="AB97" s="869" t="s">
        <v>749</v>
      </c>
      <c r="AC97" s="869">
        <v>0</v>
      </c>
      <c r="AD97" s="870"/>
      <c r="AE97" s="902">
        <v>0</v>
      </c>
      <c r="AF97" s="870"/>
      <c r="AG97" s="902">
        <f t="shared" si="25"/>
        <v>0</v>
      </c>
      <c r="AH97" s="951"/>
      <c r="AI97" s="951"/>
    </row>
    <row r="98" spans="1:35" ht="21.9" customHeight="1" x14ac:dyDescent="0.4">
      <c r="A98" s="977"/>
      <c r="B98" s="978">
        <f t="shared" si="16"/>
        <v>350</v>
      </c>
      <c r="C98" s="979"/>
      <c r="D98" s="980">
        <f t="shared" si="17"/>
        <v>0.33329999999999999</v>
      </c>
      <c r="E98" s="979"/>
      <c r="F98" s="980">
        <f t="shared" si="18"/>
        <v>0.25</v>
      </c>
      <c r="G98" s="982">
        <f t="shared" si="19"/>
        <v>0.1</v>
      </c>
      <c r="H98" s="979"/>
      <c r="I98" s="980">
        <f t="shared" si="20"/>
        <v>0.25800000000000001</v>
      </c>
      <c r="J98" s="983">
        <f t="shared" si="21"/>
        <v>0.94130000000000003</v>
      </c>
      <c r="L98" s="877">
        <v>1.3</v>
      </c>
      <c r="M98" s="878" t="s">
        <v>754</v>
      </c>
      <c r="N98" s="879"/>
      <c r="O98" s="879"/>
      <c r="P98" s="880"/>
      <c r="Q98" s="877" t="s">
        <v>747</v>
      </c>
      <c r="R98" s="898">
        <v>1</v>
      </c>
      <c r="S98" s="878"/>
      <c r="T98" s="881">
        <v>0.01</v>
      </c>
      <c r="U98" s="878"/>
      <c r="V98" s="882">
        <f t="shared" si="24"/>
        <v>100</v>
      </c>
      <c r="W98" s="869">
        <v>1.3</v>
      </c>
      <c r="X98" s="870" t="s">
        <v>755</v>
      </c>
      <c r="Y98" s="883"/>
      <c r="Z98" s="883"/>
      <c r="AA98" s="884"/>
      <c r="AB98" s="869" t="s">
        <v>749</v>
      </c>
      <c r="AC98" s="869">
        <v>1</v>
      </c>
      <c r="AD98" s="870"/>
      <c r="AE98" s="902">
        <v>15000</v>
      </c>
      <c r="AF98" s="870"/>
      <c r="AG98" s="902">
        <f t="shared" si="25"/>
        <v>15000</v>
      </c>
      <c r="AH98" s="951"/>
      <c r="AI98" s="951"/>
    </row>
    <row r="99" spans="1:35" ht="21.9" customHeight="1" x14ac:dyDescent="0.4">
      <c r="A99" s="977"/>
      <c r="B99" s="978">
        <f t="shared" si="16"/>
        <v>400</v>
      </c>
      <c r="C99" s="979"/>
      <c r="D99" s="980">
        <f t="shared" si="17"/>
        <v>0.375</v>
      </c>
      <c r="E99" s="979"/>
      <c r="F99" s="980">
        <f t="shared" si="18"/>
        <v>0.25</v>
      </c>
      <c r="G99" s="982">
        <f t="shared" si="19"/>
        <v>0.1</v>
      </c>
      <c r="H99" s="979"/>
      <c r="I99" s="980">
        <f t="shared" si="20"/>
        <v>0.25800000000000001</v>
      </c>
      <c r="J99" s="983">
        <f t="shared" si="21"/>
        <v>0.98299999999999998</v>
      </c>
      <c r="L99" s="877">
        <v>1.4</v>
      </c>
      <c r="M99" s="878" t="s">
        <v>453</v>
      </c>
      <c r="N99" s="879"/>
      <c r="O99" s="879"/>
      <c r="P99" s="880"/>
      <c r="Q99" s="877" t="s">
        <v>747</v>
      </c>
      <c r="R99" s="877">
        <v>1</v>
      </c>
      <c r="S99" s="878"/>
      <c r="T99" s="881">
        <v>0.12809999999999999</v>
      </c>
      <c r="U99" s="878"/>
      <c r="V99" s="882">
        <f t="shared" si="24"/>
        <v>1280.9999999999998</v>
      </c>
      <c r="W99" s="869">
        <v>1.4</v>
      </c>
      <c r="X99" s="870" t="s">
        <v>454</v>
      </c>
      <c r="Y99" s="883"/>
      <c r="Z99" s="883"/>
      <c r="AA99" s="884"/>
      <c r="AB99" s="869" t="s">
        <v>749</v>
      </c>
      <c r="AC99" s="869">
        <v>0</v>
      </c>
      <c r="AD99" s="870"/>
      <c r="AE99" s="902">
        <v>0</v>
      </c>
      <c r="AF99" s="870"/>
      <c r="AG99" s="902">
        <f t="shared" si="25"/>
        <v>0</v>
      </c>
      <c r="AI99" s="951"/>
    </row>
    <row r="100" spans="1:35" ht="21.9" customHeight="1" x14ac:dyDescent="0.4">
      <c r="A100" s="977"/>
      <c r="B100" s="978">
        <f t="shared" si="16"/>
        <v>500</v>
      </c>
      <c r="C100" s="979"/>
      <c r="D100" s="980">
        <f t="shared" si="17"/>
        <v>0.375</v>
      </c>
      <c r="E100" s="979"/>
      <c r="F100" s="980">
        <f t="shared" si="18"/>
        <v>0.25</v>
      </c>
      <c r="G100" s="982">
        <f t="shared" si="19"/>
        <v>0.1</v>
      </c>
      <c r="H100" s="979"/>
      <c r="I100" s="980">
        <f t="shared" si="20"/>
        <v>0.25800000000000001</v>
      </c>
      <c r="J100" s="983">
        <f t="shared" si="21"/>
        <v>0.98299999999999998</v>
      </c>
      <c r="L100" s="900">
        <v>2</v>
      </c>
      <c r="M100" s="901" t="s">
        <v>455</v>
      </c>
      <c r="N100" s="879"/>
      <c r="O100" s="879"/>
      <c r="P100" s="880"/>
      <c r="Q100" s="877"/>
      <c r="R100" s="877"/>
      <c r="S100" s="878"/>
      <c r="T100" s="882">
        <v>0</v>
      </c>
      <c r="U100" s="878"/>
      <c r="V100" s="882">
        <f t="shared" si="24"/>
        <v>0</v>
      </c>
      <c r="W100" s="869">
        <v>1.5</v>
      </c>
      <c r="X100" s="870" t="s">
        <v>456</v>
      </c>
      <c r="Y100" s="883"/>
      <c r="Z100" s="883"/>
      <c r="AA100" s="884"/>
      <c r="AB100" s="869" t="s">
        <v>749</v>
      </c>
      <c r="AC100" s="869">
        <v>1</v>
      </c>
      <c r="AD100" s="870"/>
      <c r="AE100" s="902">
        <v>8000</v>
      </c>
      <c r="AF100" s="870"/>
      <c r="AG100" s="902">
        <f t="shared" si="25"/>
        <v>8000</v>
      </c>
      <c r="AI100" s="951"/>
    </row>
    <row r="101" spans="1:35" ht="21.9" customHeight="1" x14ac:dyDescent="0.4">
      <c r="A101" s="986" t="s">
        <v>268</v>
      </c>
      <c r="B101" s="987">
        <f t="shared" si="16"/>
        <v>1000</v>
      </c>
      <c r="C101" s="988"/>
      <c r="D101" s="989">
        <f t="shared" si="17"/>
        <v>0.41670000000000001</v>
      </c>
      <c r="E101" s="988"/>
      <c r="F101" s="989">
        <f t="shared" si="18"/>
        <v>0.25</v>
      </c>
      <c r="G101" s="990">
        <f t="shared" si="19"/>
        <v>0.1</v>
      </c>
      <c r="H101" s="988"/>
      <c r="I101" s="989">
        <f t="shared" si="20"/>
        <v>0.25800000000000001</v>
      </c>
      <c r="J101" s="991">
        <f t="shared" si="21"/>
        <v>1.0246999999999999</v>
      </c>
      <c r="L101" s="877">
        <v>2.1</v>
      </c>
      <c r="M101" s="878" t="s">
        <v>457</v>
      </c>
      <c r="N101" s="879"/>
      <c r="O101" s="879"/>
      <c r="P101" s="880"/>
      <c r="Q101" s="877" t="s">
        <v>747</v>
      </c>
      <c r="R101" s="877">
        <v>1</v>
      </c>
      <c r="S101" s="878"/>
      <c r="T101" s="881">
        <v>0.46939999999999998</v>
      </c>
      <c r="U101" s="878"/>
      <c r="V101" s="882">
        <f t="shared" si="24"/>
        <v>4694</v>
      </c>
      <c r="W101" s="869">
        <v>1.6</v>
      </c>
      <c r="X101" s="870" t="s">
        <v>458</v>
      </c>
      <c r="Y101" s="883"/>
      <c r="Z101" s="883"/>
      <c r="AA101" s="884"/>
      <c r="AB101" s="869" t="s">
        <v>749</v>
      </c>
      <c r="AC101" s="869">
        <v>1</v>
      </c>
      <c r="AD101" s="870"/>
      <c r="AE101" s="902">
        <v>6000</v>
      </c>
      <c r="AF101" s="870"/>
      <c r="AG101" s="902">
        <f t="shared" si="25"/>
        <v>6000</v>
      </c>
      <c r="AI101" s="951"/>
    </row>
    <row r="102" spans="1:35" ht="21.9" customHeight="1" x14ac:dyDescent="0.4">
      <c r="A102" s="942" t="s">
        <v>741</v>
      </c>
      <c r="B102" s="942"/>
      <c r="C102" s="942"/>
      <c r="D102" s="942"/>
      <c r="E102" s="942"/>
      <c r="F102" s="942"/>
      <c r="G102" s="942"/>
      <c r="H102" s="942"/>
      <c r="I102" s="942"/>
      <c r="J102" s="942"/>
      <c r="L102" s="877">
        <v>2.2000000000000002</v>
      </c>
      <c r="M102" s="878" t="s">
        <v>459</v>
      </c>
      <c r="N102" s="879"/>
      <c r="O102" s="879"/>
      <c r="P102" s="880"/>
      <c r="Q102" s="877" t="s">
        <v>747</v>
      </c>
      <c r="R102" s="877">
        <v>1</v>
      </c>
      <c r="S102" s="878"/>
      <c r="T102" s="881">
        <v>1.2927999999999999</v>
      </c>
      <c r="U102" s="878"/>
      <c r="V102" s="882">
        <f t="shared" si="24"/>
        <v>12928</v>
      </c>
      <c r="W102" s="869">
        <v>1.7</v>
      </c>
      <c r="X102" s="870" t="s">
        <v>460</v>
      </c>
      <c r="Y102" s="883"/>
      <c r="Z102" s="883"/>
      <c r="AA102" s="884"/>
      <c r="AB102" s="869" t="s">
        <v>749</v>
      </c>
      <c r="AC102" s="869">
        <v>1</v>
      </c>
      <c r="AD102" s="870"/>
      <c r="AE102" s="902">
        <v>6000</v>
      </c>
      <c r="AF102" s="870"/>
      <c r="AG102" s="902">
        <f t="shared" si="25"/>
        <v>6000</v>
      </c>
      <c r="AI102" s="951"/>
    </row>
    <row r="103" spans="1:35" ht="21.9" customHeight="1" x14ac:dyDescent="0.4">
      <c r="A103" s="942" t="s">
        <v>741</v>
      </c>
      <c r="B103" s="942"/>
      <c r="C103" s="942"/>
      <c r="D103" s="942"/>
      <c r="E103" s="942"/>
      <c r="F103" s="942"/>
      <c r="G103" s="942"/>
      <c r="H103" s="942"/>
      <c r="I103" s="942"/>
      <c r="J103" s="942"/>
      <c r="L103" s="877">
        <v>2.2999999999999998</v>
      </c>
      <c r="M103" s="878" t="s">
        <v>461</v>
      </c>
      <c r="N103" s="879"/>
      <c r="O103" s="879"/>
      <c r="P103" s="880"/>
      <c r="Q103" s="877" t="s">
        <v>747</v>
      </c>
      <c r="R103" s="877">
        <v>1</v>
      </c>
      <c r="S103" s="878"/>
      <c r="T103" s="881">
        <v>2.4299999999999999E-2</v>
      </c>
      <c r="U103" s="878"/>
      <c r="V103" s="882">
        <f t="shared" si="24"/>
        <v>243</v>
      </c>
      <c r="W103" s="869">
        <v>1.8</v>
      </c>
      <c r="X103" s="870" t="s">
        <v>462</v>
      </c>
      <c r="Y103" s="845"/>
      <c r="Z103" s="845"/>
      <c r="AA103" s="868"/>
      <c r="AB103" s="869" t="s">
        <v>749</v>
      </c>
      <c r="AC103" s="869">
        <v>0</v>
      </c>
      <c r="AD103" s="870"/>
      <c r="AE103" s="902">
        <v>0</v>
      </c>
      <c r="AF103" s="870"/>
      <c r="AG103" s="902">
        <f t="shared" si="25"/>
        <v>0</v>
      </c>
      <c r="AI103" s="951"/>
    </row>
    <row r="104" spans="1:35" ht="21.9" customHeight="1" x14ac:dyDescent="0.4">
      <c r="A104" s="942" t="s">
        <v>741</v>
      </c>
      <c r="B104" s="942"/>
      <c r="C104" s="942"/>
      <c r="D104" s="942"/>
      <c r="E104" s="942"/>
      <c r="F104" s="942"/>
      <c r="G104" s="942"/>
      <c r="H104" s="942"/>
      <c r="I104" s="942"/>
      <c r="J104" s="942"/>
      <c r="L104" s="877">
        <v>2.4</v>
      </c>
      <c r="M104" s="878" t="s">
        <v>463</v>
      </c>
      <c r="N104" s="879"/>
      <c r="O104" s="879"/>
      <c r="P104" s="880"/>
      <c r="Q104" s="877" t="s">
        <v>747</v>
      </c>
      <c r="R104" s="877">
        <v>1</v>
      </c>
      <c r="S104" s="878"/>
      <c r="T104" s="881">
        <v>7.22E-2</v>
      </c>
      <c r="U104" s="878"/>
      <c r="V104" s="882">
        <f t="shared" si="24"/>
        <v>722</v>
      </c>
      <c r="W104" s="869">
        <v>1.9</v>
      </c>
      <c r="X104" s="870" t="s">
        <v>464</v>
      </c>
      <c r="Y104" s="883"/>
      <c r="Z104" s="883"/>
      <c r="AA104" s="884"/>
      <c r="AB104" s="869" t="s">
        <v>749</v>
      </c>
      <c r="AC104" s="869">
        <v>0</v>
      </c>
      <c r="AD104" s="870"/>
      <c r="AE104" s="902">
        <v>0</v>
      </c>
      <c r="AF104" s="870"/>
      <c r="AG104" s="902">
        <f t="shared" si="25"/>
        <v>0</v>
      </c>
      <c r="AI104" s="951"/>
    </row>
    <row r="105" spans="1:35" ht="21.9" customHeight="1" x14ac:dyDescent="0.4">
      <c r="A105" s="942" t="s">
        <v>741</v>
      </c>
      <c r="B105" s="942"/>
      <c r="C105" s="942"/>
      <c r="D105" s="942"/>
      <c r="E105" s="942"/>
      <c r="F105" s="942"/>
      <c r="G105" s="942"/>
      <c r="H105" s="942"/>
      <c r="I105" s="942"/>
      <c r="J105" s="942"/>
      <c r="L105" s="877" t="s">
        <v>741</v>
      </c>
      <c r="M105" s="878" t="s">
        <v>741</v>
      </c>
      <c r="N105" s="879"/>
      <c r="O105" s="879"/>
      <c r="P105" s="880"/>
      <c r="Q105" s="877" t="s">
        <v>741</v>
      </c>
      <c r="R105" s="877" t="s">
        <v>741</v>
      </c>
      <c r="S105" s="878"/>
      <c r="T105" s="882">
        <v>0</v>
      </c>
      <c r="U105" s="878" t="s">
        <v>741</v>
      </c>
      <c r="V105" s="882">
        <f t="shared" si="24"/>
        <v>0</v>
      </c>
      <c r="W105" s="869" t="s">
        <v>741</v>
      </c>
      <c r="X105" s="870" t="s">
        <v>741</v>
      </c>
      <c r="Y105" s="883"/>
      <c r="Z105" s="883"/>
      <c r="AA105" s="884"/>
      <c r="AB105" s="869" t="s">
        <v>741</v>
      </c>
      <c r="AC105" s="869" t="s">
        <v>741</v>
      </c>
      <c r="AD105" s="870"/>
      <c r="AE105" s="884"/>
      <c r="AF105" s="870"/>
      <c r="AG105" s="884"/>
      <c r="AI105" s="951"/>
    </row>
    <row r="106" spans="1:35" ht="21.9" customHeight="1" x14ac:dyDescent="0.4">
      <c r="A106" s="942" t="s">
        <v>741</v>
      </c>
      <c r="B106" s="942"/>
      <c r="C106" s="942"/>
      <c r="D106" s="942"/>
      <c r="E106" s="942"/>
      <c r="F106" s="942"/>
      <c r="G106" s="942"/>
      <c r="H106" s="942"/>
      <c r="I106" s="942"/>
      <c r="J106" s="942"/>
      <c r="L106" s="877" t="s">
        <v>741</v>
      </c>
      <c r="M106" s="878" t="s">
        <v>741</v>
      </c>
      <c r="N106" s="879"/>
      <c r="O106" s="879"/>
      <c r="P106" s="880"/>
      <c r="Q106" s="877" t="s">
        <v>741</v>
      </c>
      <c r="R106" s="877" t="s">
        <v>741</v>
      </c>
      <c r="S106" s="878"/>
      <c r="T106" s="992">
        <v>0</v>
      </c>
      <c r="U106" s="878" t="s">
        <v>741</v>
      </c>
      <c r="V106" s="992">
        <f t="shared" si="24"/>
        <v>0</v>
      </c>
      <c r="W106" s="869" t="s">
        <v>741</v>
      </c>
      <c r="X106" s="870" t="s">
        <v>741</v>
      </c>
      <c r="Y106" s="958"/>
      <c r="Z106" s="958"/>
      <c r="AA106" s="993"/>
      <c r="AB106" s="869" t="s">
        <v>741</v>
      </c>
      <c r="AC106" s="869" t="s">
        <v>741</v>
      </c>
      <c r="AD106" s="870"/>
      <c r="AE106" s="871" t="s">
        <v>741</v>
      </c>
      <c r="AF106" s="870"/>
      <c r="AG106" s="884"/>
      <c r="AI106" s="951"/>
    </row>
    <row r="107" spans="1:35" ht="21.9" customHeight="1" x14ac:dyDescent="0.4">
      <c r="A107" s="942" t="s">
        <v>741</v>
      </c>
      <c r="B107" s="942"/>
      <c r="C107" s="942"/>
      <c r="D107" s="942"/>
      <c r="E107" s="942"/>
      <c r="F107" s="942"/>
      <c r="G107" s="942"/>
      <c r="H107" s="942"/>
      <c r="I107" s="942"/>
      <c r="J107" s="942"/>
      <c r="L107" s="903" t="s">
        <v>260</v>
      </c>
      <c r="M107" s="904"/>
      <c r="N107" s="904"/>
      <c r="O107" s="904"/>
      <c r="P107" s="904"/>
      <c r="Q107" s="904"/>
      <c r="R107" s="904"/>
      <c r="S107" s="904"/>
      <c r="T107" s="905"/>
      <c r="U107" s="906"/>
      <c r="V107" s="907">
        <f>SUM(V96:V106)</f>
        <v>29352</v>
      </c>
      <c r="W107" s="908" t="s">
        <v>260</v>
      </c>
      <c r="X107" s="909"/>
      <c r="Y107" s="909"/>
      <c r="Z107" s="909"/>
      <c r="AA107" s="909"/>
      <c r="AB107" s="909"/>
      <c r="AC107" s="909"/>
      <c r="AD107" s="909"/>
      <c r="AE107" s="910"/>
      <c r="AF107" s="911"/>
      <c r="AG107" s="912">
        <f>SUM(AG96:AG106)</f>
        <v>35000</v>
      </c>
      <c r="AI107" s="951"/>
    </row>
    <row r="108" spans="1:35" ht="21.9" customHeight="1" x14ac:dyDescent="0.4">
      <c r="A108" s="942" t="s">
        <v>741</v>
      </c>
      <c r="B108" s="942"/>
      <c r="C108" s="942"/>
      <c r="D108" s="942"/>
      <c r="E108" s="942"/>
      <c r="F108" s="942"/>
      <c r="G108" s="942"/>
      <c r="H108" s="942"/>
      <c r="I108" s="942"/>
      <c r="J108" s="942"/>
      <c r="L108" s="994" t="s">
        <v>741</v>
      </c>
      <c r="M108" s="879" t="s">
        <v>741</v>
      </c>
      <c r="N108" s="879"/>
      <c r="O108" s="879"/>
      <c r="P108" s="879"/>
      <c r="Q108" s="994" t="s">
        <v>741</v>
      </c>
      <c r="R108" s="994" t="s">
        <v>741</v>
      </c>
      <c r="S108" s="879"/>
      <c r="T108" s="995" t="s">
        <v>741</v>
      </c>
      <c r="U108" s="879"/>
      <c r="V108" s="995" t="s">
        <v>741</v>
      </c>
      <c r="X108" s="896"/>
      <c r="Y108" s="896"/>
      <c r="Z108" s="896"/>
      <c r="AA108" s="896"/>
      <c r="AB108" s="896"/>
      <c r="AC108" s="896"/>
      <c r="AD108" s="896"/>
      <c r="AE108" s="896"/>
      <c r="AF108" s="896"/>
      <c r="AG108" s="896"/>
      <c r="AI108" s="951"/>
    </row>
    <row r="109" spans="1:35" ht="21.9" customHeight="1" x14ac:dyDescent="0.4">
      <c r="A109" s="942" t="s">
        <v>741</v>
      </c>
      <c r="B109" s="942"/>
      <c r="C109" s="942"/>
      <c r="D109" s="942"/>
      <c r="E109" s="942"/>
      <c r="F109" s="942"/>
      <c r="G109" s="942"/>
      <c r="H109" s="942"/>
      <c r="I109" s="942"/>
      <c r="J109" s="942"/>
      <c r="L109" s="930" t="s">
        <v>110</v>
      </c>
      <c r="M109" s="930"/>
      <c r="N109" s="930"/>
      <c r="O109" s="930"/>
      <c r="P109" s="930"/>
      <c r="Q109" s="930"/>
      <c r="R109" s="930"/>
      <c r="S109" s="930"/>
      <c r="T109" s="930"/>
      <c r="U109" s="930"/>
      <c r="V109" s="930"/>
      <c r="W109" s="828" t="s">
        <v>222</v>
      </c>
      <c r="X109" s="828"/>
      <c r="Y109" s="828"/>
      <c r="Z109" s="828"/>
      <c r="AA109" s="828"/>
      <c r="AB109" s="828"/>
      <c r="AC109" s="828"/>
      <c r="AD109" s="828"/>
      <c r="AE109" s="828"/>
      <c r="AF109" s="828"/>
      <c r="AG109" s="828"/>
      <c r="AI109" s="951"/>
    </row>
    <row r="110" spans="1:35" ht="21.9" customHeight="1" x14ac:dyDescent="0.4">
      <c r="A110" s="942" t="s">
        <v>741</v>
      </c>
      <c r="B110" s="942"/>
      <c r="C110" s="942"/>
      <c r="D110" s="942"/>
      <c r="E110" s="942"/>
      <c r="F110" s="942"/>
      <c r="G110" s="942"/>
      <c r="H110" s="942"/>
      <c r="I110" s="942"/>
      <c r="J110" s="942"/>
      <c r="L110" s="831"/>
      <c r="M110" s="831"/>
      <c r="N110" s="831"/>
      <c r="O110" s="831"/>
      <c r="P110" s="831"/>
      <c r="Q110" s="831"/>
      <c r="R110" s="831"/>
      <c r="S110" s="831"/>
      <c r="T110" s="831"/>
      <c r="U110" s="831"/>
      <c r="V110" s="831"/>
      <c r="AI110" s="951"/>
    </row>
    <row r="111" spans="1:35" ht="21.9" customHeight="1" x14ac:dyDescent="0.4">
      <c r="A111" s="942" t="s">
        <v>741</v>
      </c>
      <c r="B111" s="942"/>
      <c r="C111" s="942"/>
      <c r="D111" s="942"/>
      <c r="E111" s="942"/>
      <c r="F111" s="942"/>
      <c r="G111" s="942"/>
      <c r="H111" s="942"/>
      <c r="I111" s="942"/>
      <c r="J111" s="942"/>
      <c r="L111" s="831"/>
      <c r="M111" s="837" t="s">
        <v>223</v>
      </c>
      <c r="N111" s="837"/>
      <c r="O111" s="837"/>
      <c r="P111" s="837">
        <v>20</v>
      </c>
      <c r="Q111" s="837" t="s">
        <v>660</v>
      </c>
      <c r="R111" s="831"/>
      <c r="S111" s="838" t="s">
        <v>518</v>
      </c>
      <c r="T111" s="837">
        <f>E16</f>
        <v>16</v>
      </c>
      <c r="U111" s="839" t="s">
        <v>519</v>
      </c>
      <c r="V111" s="831"/>
      <c r="X111" s="840" t="s">
        <v>224</v>
      </c>
      <c r="Y111" s="840"/>
      <c r="Z111" s="840"/>
      <c r="AA111" s="840">
        <v>20</v>
      </c>
      <c r="AB111" s="840" t="s">
        <v>660</v>
      </c>
      <c r="AD111" s="838" t="s">
        <v>518</v>
      </c>
      <c r="AE111" s="837">
        <f>E16</f>
        <v>16</v>
      </c>
      <c r="AF111" s="839" t="s">
        <v>519</v>
      </c>
      <c r="AI111" s="951"/>
    </row>
    <row r="112" spans="1:35" ht="21.9" customHeight="1" x14ac:dyDescent="0.4">
      <c r="A112" s="942" t="s">
        <v>741</v>
      </c>
      <c r="B112" s="942"/>
      <c r="C112" s="942"/>
      <c r="D112" s="942"/>
      <c r="E112" s="942"/>
      <c r="F112" s="942"/>
      <c r="G112" s="942"/>
      <c r="H112" s="942"/>
      <c r="I112" s="942"/>
      <c r="J112" s="942"/>
      <c r="L112" s="847" t="s">
        <v>522</v>
      </c>
      <c r="M112" s="848" t="s">
        <v>523</v>
      </c>
      <c r="N112" s="849"/>
      <c r="O112" s="849"/>
      <c r="P112" s="850"/>
      <c r="Q112" s="847" t="s">
        <v>524</v>
      </c>
      <c r="R112" s="847" t="s">
        <v>525</v>
      </c>
      <c r="S112" s="851" t="s">
        <v>526</v>
      </c>
      <c r="T112" s="852"/>
      <c r="U112" s="851" t="s">
        <v>527</v>
      </c>
      <c r="V112" s="852"/>
      <c r="W112" s="847" t="s">
        <v>522</v>
      </c>
      <c r="X112" s="848" t="s">
        <v>523</v>
      </c>
      <c r="Y112" s="849"/>
      <c r="Z112" s="849"/>
      <c r="AA112" s="850"/>
      <c r="AB112" s="847" t="s">
        <v>524</v>
      </c>
      <c r="AC112" s="847" t="s">
        <v>525</v>
      </c>
      <c r="AD112" s="851" t="s">
        <v>528</v>
      </c>
      <c r="AE112" s="852"/>
      <c r="AF112" s="851" t="s">
        <v>529</v>
      </c>
      <c r="AG112" s="852"/>
      <c r="AI112" s="951"/>
    </row>
    <row r="113" spans="1:35" ht="21.9" customHeight="1" x14ac:dyDescent="0.4">
      <c r="A113" s="942" t="s">
        <v>741</v>
      </c>
      <c r="B113" s="942"/>
      <c r="C113" s="942"/>
      <c r="D113" s="942"/>
      <c r="E113" s="942"/>
      <c r="F113" s="942"/>
      <c r="G113" s="942"/>
      <c r="H113" s="942"/>
      <c r="I113" s="942"/>
      <c r="J113" s="942"/>
      <c r="L113" s="854"/>
      <c r="M113" s="855"/>
      <c r="N113" s="856"/>
      <c r="O113" s="856"/>
      <c r="P113" s="857"/>
      <c r="Q113" s="854"/>
      <c r="R113" s="854"/>
      <c r="S113" s="858" t="s">
        <v>533</v>
      </c>
      <c r="T113" s="859"/>
      <c r="U113" s="858" t="s">
        <v>732</v>
      </c>
      <c r="V113" s="859"/>
      <c r="W113" s="854"/>
      <c r="X113" s="855"/>
      <c r="Y113" s="856"/>
      <c r="Z113" s="856"/>
      <c r="AA113" s="857"/>
      <c r="AB113" s="854"/>
      <c r="AC113" s="854"/>
      <c r="AD113" s="858" t="s">
        <v>733</v>
      </c>
      <c r="AE113" s="859"/>
      <c r="AF113" s="858" t="s">
        <v>732</v>
      </c>
      <c r="AG113" s="859"/>
      <c r="AI113" s="951"/>
    </row>
    <row r="114" spans="1:35" ht="21.9" customHeight="1" x14ac:dyDescent="0.4">
      <c r="A114" s="942" t="s">
        <v>741</v>
      </c>
      <c r="B114" s="942"/>
      <c r="C114" s="942"/>
      <c r="D114" s="942"/>
      <c r="E114" s="942"/>
      <c r="F114" s="942"/>
      <c r="G114" s="942"/>
      <c r="H114" s="942"/>
      <c r="I114" s="942"/>
      <c r="J114" s="942"/>
      <c r="L114" s="860">
        <v>1</v>
      </c>
      <c r="M114" s="861" t="s">
        <v>739</v>
      </c>
      <c r="N114" s="862"/>
      <c r="O114" s="862"/>
      <c r="P114" s="863"/>
      <c r="Q114" s="864"/>
      <c r="R114" s="864"/>
      <c r="S114" s="865"/>
      <c r="T114" s="863"/>
      <c r="U114" s="865"/>
      <c r="V114" s="863"/>
      <c r="W114" s="866">
        <v>1</v>
      </c>
      <c r="X114" s="867" t="s">
        <v>740</v>
      </c>
      <c r="Y114" s="845"/>
      <c r="Z114" s="845"/>
      <c r="AA114" s="868"/>
      <c r="AB114" s="869"/>
      <c r="AC114" s="869"/>
      <c r="AD114" s="870"/>
      <c r="AE114" s="871"/>
      <c r="AF114" s="870"/>
      <c r="AG114" s="872" t="s">
        <v>741</v>
      </c>
      <c r="AI114" s="951"/>
    </row>
    <row r="115" spans="1:35" ht="21.9" customHeight="1" x14ac:dyDescent="0.4">
      <c r="A115" s="942" t="s">
        <v>741</v>
      </c>
      <c r="B115" s="942"/>
      <c r="C115" s="942"/>
      <c r="D115" s="942"/>
      <c r="E115" s="942"/>
      <c r="F115" s="942"/>
      <c r="G115" s="942"/>
      <c r="H115" s="942"/>
      <c r="I115" s="942"/>
      <c r="J115" s="942"/>
      <c r="L115" s="877">
        <v>1.1000000000000001</v>
      </c>
      <c r="M115" s="878" t="s">
        <v>1437</v>
      </c>
      <c r="N115" s="879"/>
      <c r="O115" s="879"/>
      <c r="P115" s="880"/>
      <c r="Q115" s="877" t="s">
        <v>747</v>
      </c>
      <c r="R115" s="877">
        <v>1</v>
      </c>
      <c r="S115" s="878"/>
      <c r="T115" s="881">
        <v>8.1100000000000005E-2</v>
      </c>
      <c r="U115" s="878"/>
      <c r="V115" s="882">
        <f t="shared" ref="V115:V125" si="26">((($P$111*1000000)*T115)/100)/$T$111</f>
        <v>1013.75</v>
      </c>
      <c r="W115" s="869">
        <v>1.1000000000000001</v>
      </c>
      <c r="X115" s="870" t="s">
        <v>748</v>
      </c>
      <c r="Y115" s="883"/>
      <c r="Z115" s="883"/>
      <c r="AA115" s="884"/>
      <c r="AB115" s="869" t="s">
        <v>749</v>
      </c>
      <c r="AC115" s="869">
        <v>0</v>
      </c>
      <c r="AD115" s="870"/>
      <c r="AE115" s="957">
        <v>0</v>
      </c>
      <c r="AF115" s="870"/>
      <c r="AG115" s="872">
        <f t="shared" ref="AG115:AG123" si="27">(AC115*AE115)</f>
        <v>0</v>
      </c>
      <c r="AI115" s="951"/>
    </row>
    <row r="116" spans="1:35" ht="21.9" customHeight="1" x14ac:dyDescent="0.4">
      <c r="A116" s="942" t="s">
        <v>741</v>
      </c>
      <c r="B116" s="942"/>
      <c r="C116" s="942"/>
      <c r="D116" s="942"/>
      <c r="E116" s="942"/>
      <c r="F116" s="942"/>
      <c r="G116" s="942"/>
      <c r="H116" s="942"/>
      <c r="I116" s="942"/>
      <c r="J116" s="942"/>
      <c r="L116" s="877">
        <v>1.2</v>
      </c>
      <c r="M116" s="878" t="s">
        <v>752</v>
      </c>
      <c r="N116" s="879"/>
      <c r="O116" s="879"/>
      <c r="P116" s="880"/>
      <c r="Q116" s="877" t="s">
        <v>747</v>
      </c>
      <c r="R116" s="877">
        <v>1</v>
      </c>
      <c r="S116" s="878"/>
      <c r="T116" s="881">
        <v>0.85729999999999995</v>
      </c>
      <c r="U116" s="878"/>
      <c r="V116" s="882">
        <f t="shared" si="26"/>
        <v>10716.25</v>
      </c>
      <c r="W116" s="869">
        <v>1.2</v>
      </c>
      <c r="X116" s="870" t="s">
        <v>753</v>
      </c>
      <c r="Y116" s="883"/>
      <c r="Z116" s="883"/>
      <c r="AA116" s="884"/>
      <c r="AB116" s="869" t="s">
        <v>749</v>
      </c>
      <c r="AC116" s="869">
        <v>0</v>
      </c>
      <c r="AD116" s="870"/>
      <c r="AE116" s="902">
        <v>0</v>
      </c>
      <c r="AF116" s="870"/>
      <c r="AG116" s="872">
        <f t="shared" si="27"/>
        <v>0</v>
      </c>
      <c r="AI116" s="951"/>
    </row>
    <row r="117" spans="1:35" ht="21.9" customHeight="1" x14ac:dyDescent="0.4">
      <c r="A117" s="942" t="s">
        <v>741</v>
      </c>
      <c r="B117" s="942"/>
      <c r="C117" s="942"/>
      <c r="D117" s="942"/>
      <c r="E117" s="942"/>
      <c r="F117" s="942"/>
      <c r="G117" s="942"/>
      <c r="H117" s="942"/>
      <c r="I117" s="942"/>
      <c r="J117" s="942"/>
      <c r="L117" s="877">
        <v>1.3</v>
      </c>
      <c r="M117" s="878" t="s">
        <v>754</v>
      </c>
      <c r="N117" s="879"/>
      <c r="O117" s="879"/>
      <c r="P117" s="880"/>
      <c r="Q117" s="877" t="s">
        <v>747</v>
      </c>
      <c r="R117" s="898">
        <v>1</v>
      </c>
      <c r="S117" s="878"/>
      <c r="T117" s="881">
        <v>0.01</v>
      </c>
      <c r="U117" s="878"/>
      <c r="V117" s="882">
        <f t="shared" si="26"/>
        <v>125</v>
      </c>
      <c r="W117" s="869">
        <v>1.3</v>
      </c>
      <c r="X117" s="870" t="s">
        <v>755</v>
      </c>
      <c r="Y117" s="883"/>
      <c r="Z117" s="883"/>
      <c r="AA117" s="884"/>
      <c r="AB117" s="869" t="s">
        <v>749</v>
      </c>
      <c r="AC117" s="869">
        <v>1</v>
      </c>
      <c r="AD117" s="870"/>
      <c r="AE117" s="902">
        <v>15000</v>
      </c>
      <c r="AF117" s="870"/>
      <c r="AG117" s="996">
        <f t="shared" si="27"/>
        <v>15000</v>
      </c>
      <c r="AI117" s="951"/>
    </row>
    <row r="118" spans="1:35" ht="21.9" customHeight="1" x14ac:dyDescent="0.4">
      <c r="A118" s="942" t="s">
        <v>741</v>
      </c>
      <c r="B118" s="942"/>
      <c r="C118" s="942"/>
      <c r="D118" s="942"/>
      <c r="E118" s="942"/>
      <c r="F118" s="942"/>
      <c r="G118" s="942"/>
      <c r="H118" s="942"/>
      <c r="I118" s="942"/>
      <c r="J118" s="942"/>
      <c r="L118" s="877">
        <v>1.4</v>
      </c>
      <c r="M118" s="878" t="s">
        <v>453</v>
      </c>
      <c r="N118" s="879"/>
      <c r="O118" s="879"/>
      <c r="P118" s="880"/>
      <c r="Q118" s="877" t="s">
        <v>747</v>
      </c>
      <c r="R118" s="877">
        <v>1</v>
      </c>
      <c r="S118" s="878"/>
      <c r="T118" s="881">
        <v>0.12809999999999999</v>
      </c>
      <c r="U118" s="878"/>
      <c r="V118" s="882">
        <f t="shared" si="26"/>
        <v>1601.25</v>
      </c>
      <c r="W118" s="869">
        <v>1.4</v>
      </c>
      <c r="X118" s="870" t="s">
        <v>454</v>
      </c>
      <c r="Y118" s="883"/>
      <c r="Z118" s="883"/>
      <c r="AA118" s="884"/>
      <c r="AB118" s="869" t="s">
        <v>749</v>
      </c>
      <c r="AC118" s="869">
        <v>0</v>
      </c>
      <c r="AD118" s="870"/>
      <c r="AE118" s="902">
        <v>0</v>
      </c>
      <c r="AF118" s="870"/>
      <c r="AG118" s="996">
        <f t="shared" si="27"/>
        <v>0</v>
      </c>
      <c r="AI118" s="951"/>
    </row>
    <row r="119" spans="1:35" ht="21.9" customHeight="1" x14ac:dyDescent="0.4">
      <c r="A119" s="942" t="s">
        <v>741</v>
      </c>
      <c r="B119" s="942"/>
      <c r="C119" s="942"/>
      <c r="D119" s="942"/>
      <c r="E119" s="942"/>
      <c r="F119" s="942"/>
      <c r="G119" s="942"/>
      <c r="H119" s="942"/>
      <c r="I119" s="942"/>
      <c r="J119" s="942"/>
      <c r="L119" s="900">
        <v>2</v>
      </c>
      <c r="M119" s="901" t="s">
        <v>455</v>
      </c>
      <c r="N119" s="879"/>
      <c r="O119" s="879"/>
      <c r="P119" s="880"/>
      <c r="Q119" s="877"/>
      <c r="R119" s="877"/>
      <c r="S119" s="878"/>
      <c r="T119" s="882">
        <v>0</v>
      </c>
      <c r="U119" s="878"/>
      <c r="V119" s="882">
        <f t="shared" si="26"/>
        <v>0</v>
      </c>
      <c r="W119" s="869">
        <v>1.5</v>
      </c>
      <c r="X119" s="870" t="s">
        <v>456</v>
      </c>
      <c r="Y119" s="883"/>
      <c r="Z119" s="883"/>
      <c r="AA119" s="884"/>
      <c r="AB119" s="869" t="s">
        <v>749</v>
      </c>
      <c r="AC119" s="869">
        <v>1</v>
      </c>
      <c r="AD119" s="870"/>
      <c r="AE119" s="902">
        <v>8000</v>
      </c>
      <c r="AF119" s="870"/>
      <c r="AG119" s="996">
        <f t="shared" si="27"/>
        <v>8000</v>
      </c>
      <c r="AI119" s="951"/>
    </row>
    <row r="120" spans="1:35" ht="21.9" customHeight="1" x14ac:dyDescent="0.4">
      <c r="A120" s="942" t="s">
        <v>741</v>
      </c>
      <c r="B120" s="942"/>
      <c r="C120" s="942"/>
      <c r="D120" s="942"/>
      <c r="E120" s="942"/>
      <c r="F120" s="942"/>
      <c r="G120" s="942"/>
      <c r="H120" s="942"/>
      <c r="I120" s="942"/>
      <c r="J120" s="942"/>
      <c r="L120" s="877">
        <v>2.1</v>
      </c>
      <c r="M120" s="878" t="s">
        <v>457</v>
      </c>
      <c r="N120" s="879"/>
      <c r="O120" s="879"/>
      <c r="P120" s="880"/>
      <c r="Q120" s="877" t="s">
        <v>747</v>
      </c>
      <c r="R120" s="877">
        <v>1</v>
      </c>
      <c r="S120" s="878"/>
      <c r="T120" s="881">
        <v>0.45629999999999998</v>
      </c>
      <c r="U120" s="878"/>
      <c r="V120" s="882">
        <f t="shared" si="26"/>
        <v>5703.75</v>
      </c>
      <c r="W120" s="869">
        <v>1.6</v>
      </c>
      <c r="X120" s="870" t="s">
        <v>458</v>
      </c>
      <c r="Y120" s="883"/>
      <c r="Z120" s="883"/>
      <c r="AA120" s="884"/>
      <c r="AB120" s="869" t="s">
        <v>749</v>
      </c>
      <c r="AC120" s="869">
        <v>1</v>
      </c>
      <c r="AD120" s="870"/>
      <c r="AE120" s="902">
        <v>6000</v>
      </c>
      <c r="AF120" s="870"/>
      <c r="AG120" s="996">
        <f t="shared" si="27"/>
        <v>6000</v>
      </c>
      <c r="AI120" s="951"/>
    </row>
    <row r="121" spans="1:35" ht="21.9" customHeight="1" x14ac:dyDescent="0.4">
      <c r="A121" s="942" t="s">
        <v>741</v>
      </c>
      <c r="B121" s="942"/>
      <c r="C121" s="942"/>
      <c r="D121" s="942"/>
      <c r="E121" s="942"/>
      <c r="F121" s="942"/>
      <c r="G121" s="942"/>
      <c r="H121" s="942"/>
      <c r="I121" s="942"/>
      <c r="J121" s="942"/>
      <c r="L121" s="877">
        <v>2.2000000000000002</v>
      </c>
      <c r="M121" s="878" t="s">
        <v>459</v>
      </c>
      <c r="N121" s="879"/>
      <c r="O121" s="879"/>
      <c r="P121" s="880"/>
      <c r="Q121" s="877" t="s">
        <v>747</v>
      </c>
      <c r="R121" s="877">
        <v>1</v>
      </c>
      <c r="S121" s="878"/>
      <c r="T121" s="881">
        <v>1.2927999999999999</v>
      </c>
      <c r="U121" s="878"/>
      <c r="V121" s="882">
        <f t="shared" si="26"/>
        <v>16160</v>
      </c>
      <c r="W121" s="869">
        <v>1.7</v>
      </c>
      <c r="X121" s="870" t="s">
        <v>460</v>
      </c>
      <c r="Y121" s="883"/>
      <c r="Z121" s="883"/>
      <c r="AA121" s="884"/>
      <c r="AB121" s="869" t="s">
        <v>749</v>
      </c>
      <c r="AC121" s="869">
        <v>1</v>
      </c>
      <c r="AD121" s="870"/>
      <c r="AE121" s="902">
        <v>6000</v>
      </c>
      <c r="AF121" s="870"/>
      <c r="AG121" s="996">
        <f t="shared" si="27"/>
        <v>6000</v>
      </c>
      <c r="AI121" s="951"/>
    </row>
    <row r="122" spans="1:35" ht="21.9" customHeight="1" x14ac:dyDescent="0.4">
      <c r="A122" s="942" t="s">
        <v>741</v>
      </c>
      <c r="B122" s="942"/>
      <c r="C122" s="942"/>
      <c r="D122" s="942"/>
      <c r="E122" s="942"/>
      <c r="F122" s="942"/>
      <c r="G122" s="942"/>
      <c r="H122" s="942"/>
      <c r="I122" s="942"/>
      <c r="J122" s="942"/>
      <c r="L122" s="877">
        <v>2.2999999999999998</v>
      </c>
      <c r="M122" s="878" t="s">
        <v>461</v>
      </c>
      <c r="N122" s="879"/>
      <c r="O122" s="879"/>
      <c r="P122" s="880"/>
      <c r="Q122" s="877" t="s">
        <v>747</v>
      </c>
      <c r="R122" s="877">
        <v>1</v>
      </c>
      <c r="S122" s="878"/>
      <c r="T122" s="881">
        <v>2.4299999999999999E-2</v>
      </c>
      <c r="U122" s="878"/>
      <c r="V122" s="882">
        <f t="shared" si="26"/>
        <v>303.75</v>
      </c>
      <c r="W122" s="869">
        <v>1.8</v>
      </c>
      <c r="X122" s="870" t="s">
        <v>462</v>
      </c>
      <c r="Y122" s="845"/>
      <c r="Z122" s="845"/>
      <c r="AA122" s="868"/>
      <c r="AB122" s="869" t="s">
        <v>749</v>
      </c>
      <c r="AC122" s="869">
        <v>0</v>
      </c>
      <c r="AD122" s="870"/>
      <c r="AE122" s="902">
        <v>0</v>
      </c>
      <c r="AF122" s="870"/>
      <c r="AG122" s="872">
        <f t="shared" si="27"/>
        <v>0</v>
      </c>
      <c r="AI122" s="951"/>
    </row>
    <row r="123" spans="1:35" ht="21.9" customHeight="1" x14ac:dyDescent="0.4">
      <c r="A123" s="942" t="s">
        <v>741</v>
      </c>
      <c r="B123" s="942"/>
      <c r="C123" s="942"/>
      <c r="D123" s="942"/>
      <c r="E123" s="942"/>
      <c r="F123" s="942"/>
      <c r="G123" s="942"/>
      <c r="H123" s="942"/>
      <c r="I123" s="942"/>
      <c r="J123" s="942"/>
      <c r="L123" s="877">
        <v>2.4</v>
      </c>
      <c r="M123" s="878" t="s">
        <v>463</v>
      </c>
      <c r="N123" s="879"/>
      <c r="O123" s="879"/>
      <c r="P123" s="880"/>
      <c r="Q123" s="877" t="s">
        <v>747</v>
      </c>
      <c r="R123" s="877">
        <v>1</v>
      </c>
      <c r="S123" s="878"/>
      <c r="T123" s="881">
        <v>7.22E-2</v>
      </c>
      <c r="U123" s="878"/>
      <c r="V123" s="882">
        <f t="shared" si="26"/>
        <v>902.5</v>
      </c>
      <c r="W123" s="869">
        <v>1.9</v>
      </c>
      <c r="X123" s="870" t="s">
        <v>464</v>
      </c>
      <c r="Y123" s="883"/>
      <c r="Z123" s="883"/>
      <c r="AA123" s="884"/>
      <c r="AB123" s="869" t="s">
        <v>749</v>
      </c>
      <c r="AC123" s="869">
        <v>0</v>
      </c>
      <c r="AD123" s="870"/>
      <c r="AE123" s="902">
        <v>0</v>
      </c>
      <c r="AF123" s="870"/>
      <c r="AG123" s="872">
        <f t="shared" si="27"/>
        <v>0</v>
      </c>
      <c r="AI123" s="951"/>
    </row>
    <row r="124" spans="1:35" ht="21.9" customHeight="1" x14ac:dyDescent="0.4">
      <c r="A124" s="942" t="s">
        <v>741</v>
      </c>
      <c r="B124" s="942"/>
      <c r="C124" s="942"/>
      <c r="D124" s="942"/>
      <c r="E124" s="942"/>
      <c r="F124" s="942"/>
      <c r="G124" s="942"/>
      <c r="H124" s="942"/>
      <c r="I124" s="942"/>
      <c r="J124" s="942"/>
      <c r="L124" s="877" t="s">
        <v>741</v>
      </c>
      <c r="M124" s="878" t="s">
        <v>741</v>
      </c>
      <c r="N124" s="879"/>
      <c r="O124" s="879"/>
      <c r="P124" s="880"/>
      <c r="Q124" s="877" t="s">
        <v>741</v>
      </c>
      <c r="R124" s="877" t="s">
        <v>741</v>
      </c>
      <c r="S124" s="878"/>
      <c r="T124" s="882">
        <v>0</v>
      </c>
      <c r="U124" s="878" t="s">
        <v>741</v>
      </c>
      <c r="V124" s="882">
        <f t="shared" si="26"/>
        <v>0</v>
      </c>
      <c r="W124" s="869" t="s">
        <v>741</v>
      </c>
      <c r="X124" s="870" t="s">
        <v>741</v>
      </c>
      <c r="Y124" s="883"/>
      <c r="Z124" s="883"/>
      <c r="AA124" s="884"/>
      <c r="AB124" s="869" t="s">
        <v>741</v>
      </c>
      <c r="AC124" s="869" t="s">
        <v>741</v>
      </c>
      <c r="AD124" s="870"/>
      <c r="AE124" s="871" t="s">
        <v>741</v>
      </c>
      <c r="AF124" s="870"/>
      <c r="AG124" s="871" t="s">
        <v>741</v>
      </c>
      <c r="AI124" s="951"/>
    </row>
    <row r="125" spans="1:35" ht="21.9" customHeight="1" x14ac:dyDescent="0.4">
      <c r="A125" s="942" t="s">
        <v>741</v>
      </c>
      <c r="B125" s="942"/>
      <c r="C125" s="942"/>
      <c r="D125" s="942"/>
      <c r="E125" s="942"/>
      <c r="F125" s="942"/>
      <c r="G125" s="942"/>
      <c r="H125" s="942"/>
      <c r="I125" s="942"/>
      <c r="J125" s="942"/>
      <c r="L125" s="877" t="s">
        <v>741</v>
      </c>
      <c r="M125" s="878" t="s">
        <v>741</v>
      </c>
      <c r="N125" s="879"/>
      <c r="O125" s="879"/>
      <c r="P125" s="880"/>
      <c r="Q125" s="877" t="s">
        <v>741</v>
      </c>
      <c r="R125" s="877" t="s">
        <v>741</v>
      </c>
      <c r="S125" s="878"/>
      <c r="T125" s="882">
        <v>0</v>
      </c>
      <c r="U125" s="878" t="s">
        <v>741</v>
      </c>
      <c r="V125" s="882">
        <f t="shared" si="26"/>
        <v>0</v>
      </c>
      <c r="W125" s="869" t="s">
        <v>741</v>
      </c>
      <c r="X125" s="870" t="s">
        <v>741</v>
      </c>
      <c r="Y125" s="883"/>
      <c r="Z125" s="883"/>
      <c r="AA125" s="884"/>
      <c r="AB125" s="869" t="s">
        <v>741</v>
      </c>
      <c r="AC125" s="869" t="s">
        <v>741</v>
      </c>
      <c r="AD125" s="870"/>
      <c r="AE125" s="871" t="s">
        <v>741</v>
      </c>
      <c r="AF125" s="870"/>
      <c r="AG125" s="871" t="s">
        <v>741</v>
      </c>
      <c r="AI125" s="951"/>
    </row>
    <row r="126" spans="1:35" ht="21.9" customHeight="1" x14ac:dyDescent="0.4">
      <c r="A126" s="942" t="s">
        <v>741</v>
      </c>
      <c r="B126" s="942"/>
      <c r="C126" s="942"/>
      <c r="D126" s="942"/>
      <c r="E126" s="942"/>
      <c r="F126" s="942"/>
      <c r="G126" s="942"/>
      <c r="H126" s="942"/>
      <c r="I126" s="942"/>
      <c r="J126" s="942"/>
      <c r="L126" s="903" t="s">
        <v>260</v>
      </c>
      <c r="M126" s="904"/>
      <c r="N126" s="904"/>
      <c r="O126" s="904"/>
      <c r="P126" s="904"/>
      <c r="Q126" s="904"/>
      <c r="R126" s="904"/>
      <c r="S126" s="904"/>
      <c r="T126" s="905"/>
      <c r="U126" s="906"/>
      <c r="V126" s="907">
        <f>SUM(V115:V125)</f>
        <v>36526.25</v>
      </c>
      <c r="W126" s="908" t="s">
        <v>260</v>
      </c>
      <c r="X126" s="909"/>
      <c r="Y126" s="909"/>
      <c r="Z126" s="909"/>
      <c r="AA126" s="909"/>
      <c r="AB126" s="909"/>
      <c r="AC126" s="909"/>
      <c r="AD126" s="909"/>
      <c r="AE126" s="910"/>
      <c r="AF126" s="911"/>
      <c r="AG126" s="912">
        <f>SUM(AG115:AG125)</f>
        <v>35000</v>
      </c>
      <c r="AI126" s="951"/>
    </row>
    <row r="127" spans="1:35" ht="21.9" customHeight="1" x14ac:dyDescent="0.4">
      <c r="A127" s="942" t="s">
        <v>741</v>
      </c>
      <c r="B127" s="942"/>
      <c r="C127" s="942"/>
      <c r="D127" s="942"/>
      <c r="E127" s="942"/>
      <c r="F127" s="942"/>
      <c r="G127" s="942"/>
      <c r="H127" s="942"/>
      <c r="I127" s="942"/>
      <c r="J127" s="942"/>
      <c r="L127" s="831"/>
      <c r="M127" s="831"/>
      <c r="N127" s="831"/>
      <c r="O127" s="831"/>
      <c r="P127" s="831"/>
      <c r="Q127" s="831"/>
      <c r="R127" s="831"/>
      <c r="S127" s="831"/>
      <c r="T127" s="831"/>
      <c r="U127" s="831"/>
      <c r="V127" s="831"/>
      <c r="W127" s="984" t="s">
        <v>741</v>
      </c>
      <c r="X127" s="862" t="s">
        <v>741</v>
      </c>
      <c r="Y127" s="862"/>
      <c r="Z127" s="862"/>
      <c r="AA127" s="862"/>
      <c r="AB127" s="984" t="s">
        <v>741</v>
      </c>
      <c r="AC127" s="984" t="s">
        <v>741</v>
      </c>
      <c r="AD127" s="862"/>
      <c r="AE127" s="985" t="s">
        <v>741</v>
      </c>
      <c r="AF127" s="862"/>
      <c r="AG127" s="985" t="s">
        <v>741</v>
      </c>
      <c r="AI127" s="951"/>
    </row>
    <row r="128" spans="1:35" ht="21.9" customHeight="1" x14ac:dyDescent="0.4">
      <c r="A128" s="942" t="s">
        <v>741</v>
      </c>
      <c r="B128" s="942"/>
      <c r="C128" s="942"/>
      <c r="D128" s="942"/>
      <c r="E128" s="942"/>
      <c r="F128" s="942"/>
      <c r="G128" s="942"/>
      <c r="H128" s="942"/>
      <c r="I128" s="942"/>
      <c r="J128" s="942"/>
      <c r="L128" s="831"/>
      <c r="M128" s="837" t="s">
        <v>225</v>
      </c>
      <c r="N128" s="837"/>
      <c r="O128" s="837"/>
      <c r="P128" s="837">
        <v>25</v>
      </c>
      <c r="Q128" s="837" t="s">
        <v>660</v>
      </c>
      <c r="R128" s="831"/>
      <c r="S128" s="838" t="s">
        <v>518</v>
      </c>
      <c r="T128" s="837">
        <f>E17</f>
        <v>16</v>
      </c>
      <c r="U128" s="839" t="s">
        <v>519</v>
      </c>
      <c r="V128" s="831"/>
      <c r="W128" s="883"/>
      <c r="X128" s="837" t="s">
        <v>226</v>
      </c>
      <c r="Y128" s="837"/>
      <c r="Z128" s="837"/>
      <c r="AA128" s="837">
        <v>25</v>
      </c>
      <c r="AB128" s="837" t="s">
        <v>660</v>
      </c>
      <c r="AC128" s="831"/>
      <c r="AD128" s="838" t="s">
        <v>518</v>
      </c>
      <c r="AE128" s="837">
        <f>E17</f>
        <v>16</v>
      </c>
      <c r="AF128" s="839" t="s">
        <v>519</v>
      </c>
      <c r="AG128" s="831"/>
      <c r="AI128" s="951"/>
    </row>
    <row r="129" spans="1:35" ht="21.9" customHeight="1" x14ac:dyDescent="0.4">
      <c r="A129" s="942" t="s">
        <v>741</v>
      </c>
      <c r="B129" s="942"/>
      <c r="C129" s="942"/>
      <c r="D129" s="942"/>
      <c r="E129" s="942"/>
      <c r="F129" s="942"/>
      <c r="G129" s="942"/>
      <c r="H129" s="942"/>
      <c r="I129" s="942"/>
      <c r="J129" s="942"/>
      <c r="L129" s="847" t="s">
        <v>522</v>
      </c>
      <c r="M129" s="848" t="s">
        <v>523</v>
      </c>
      <c r="N129" s="849"/>
      <c r="O129" s="849"/>
      <c r="P129" s="850"/>
      <c r="Q129" s="847" t="s">
        <v>524</v>
      </c>
      <c r="R129" s="847" t="s">
        <v>525</v>
      </c>
      <c r="S129" s="851" t="s">
        <v>526</v>
      </c>
      <c r="T129" s="852"/>
      <c r="U129" s="851" t="s">
        <v>527</v>
      </c>
      <c r="V129" s="852"/>
      <c r="W129" s="847" t="s">
        <v>522</v>
      </c>
      <c r="X129" s="848" t="s">
        <v>523</v>
      </c>
      <c r="Y129" s="849"/>
      <c r="Z129" s="849"/>
      <c r="AA129" s="850"/>
      <c r="AB129" s="847" t="s">
        <v>524</v>
      </c>
      <c r="AC129" s="847" t="s">
        <v>525</v>
      </c>
      <c r="AD129" s="851" t="s">
        <v>528</v>
      </c>
      <c r="AE129" s="852"/>
      <c r="AF129" s="851" t="s">
        <v>529</v>
      </c>
      <c r="AG129" s="852"/>
      <c r="AI129" s="951"/>
    </row>
    <row r="130" spans="1:35" ht="21.9" customHeight="1" x14ac:dyDescent="0.4">
      <c r="A130" s="942" t="s">
        <v>741</v>
      </c>
      <c r="B130" s="942"/>
      <c r="C130" s="942"/>
      <c r="D130" s="942"/>
      <c r="E130" s="942"/>
      <c r="F130" s="942"/>
      <c r="G130" s="942"/>
      <c r="H130" s="942"/>
      <c r="I130" s="942"/>
      <c r="J130" s="942"/>
      <c r="L130" s="854"/>
      <c r="M130" s="855"/>
      <c r="N130" s="856"/>
      <c r="O130" s="856"/>
      <c r="P130" s="857"/>
      <c r="Q130" s="854"/>
      <c r="R130" s="854"/>
      <c r="S130" s="858" t="s">
        <v>533</v>
      </c>
      <c r="T130" s="859"/>
      <c r="U130" s="858" t="s">
        <v>732</v>
      </c>
      <c r="V130" s="859"/>
      <c r="W130" s="854"/>
      <c r="X130" s="855"/>
      <c r="Y130" s="856"/>
      <c r="Z130" s="856"/>
      <c r="AA130" s="857"/>
      <c r="AB130" s="854"/>
      <c r="AC130" s="854"/>
      <c r="AD130" s="858" t="s">
        <v>733</v>
      </c>
      <c r="AE130" s="859"/>
      <c r="AF130" s="858" t="s">
        <v>732</v>
      </c>
      <c r="AG130" s="859"/>
      <c r="AI130" s="951"/>
    </row>
    <row r="131" spans="1:35" ht="21.9" customHeight="1" x14ac:dyDescent="0.4">
      <c r="A131" s="835" t="s">
        <v>741</v>
      </c>
      <c r="B131" s="942"/>
      <c r="C131" s="942"/>
      <c r="D131" s="942"/>
      <c r="E131" s="942"/>
      <c r="F131" s="942"/>
      <c r="G131" s="942"/>
      <c r="H131" s="942"/>
      <c r="I131" s="883"/>
      <c r="L131" s="860">
        <v>1</v>
      </c>
      <c r="M131" s="861" t="s">
        <v>739</v>
      </c>
      <c r="N131" s="862"/>
      <c r="O131" s="862"/>
      <c r="P131" s="863"/>
      <c r="Q131" s="864"/>
      <c r="R131" s="864"/>
      <c r="S131" s="865"/>
      <c r="T131" s="863"/>
      <c r="U131" s="865"/>
      <c r="V131" s="863"/>
      <c r="W131" s="866">
        <v>1</v>
      </c>
      <c r="X131" s="867" t="s">
        <v>740</v>
      </c>
      <c r="Y131" s="845"/>
      <c r="Z131" s="845"/>
      <c r="AA131" s="868"/>
      <c r="AB131" s="869"/>
      <c r="AC131" s="869"/>
      <c r="AD131" s="870"/>
      <c r="AE131" s="871"/>
      <c r="AF131" s="870"/>
      <c r="AG131" s="872" t="s">
        <v>741</v>
      </c>
    </row>
    <row r="132" spans="1:35" ht="21.9" customHeight="1" x14ac:dyDescent="0.35">
      <c r="L132" s="877">
        <v>1.1000000000000001</v>
      </c>
      <c r="M132" s="878" t="s">
        <v>1437</v>
      </c>
      <c r="N132" s="879"/>
      <c r="O132" s="879"/>
      <c r="P132" s="880"/>
      <c r="Q132" s="877" t="s">
        <v>747</v>
      </c>
      <c r="R132" s="877">
        <v>1</v>
      </c>
      <c r="S132" s="878"/>
      <c r="T132" s="881">
        <v>8.1100000000000005E-2</v>
      </c>
      <c r="U132" s="878"/>
      <c r="V132" s="882">
        <f t="shared" ref="V132:V142" si="28">((($P$128*1000000)*T132)/100)/$T$128</f>
        <v>1267.1875000000002</v>
      </c>
      <c r="W132" s="869">
        <v>1.1000000000000001</v>
      </c>
      <c r="X132" s="870" t="s">
        <v>748</v>
      </c>
      <c r="Y132" s="883"/>
      <c r="Z132" s="883"/>
      <c r="AA132" s="884"/>
      <c r="AB132" s="869" t="s">
        <v>749</v>
      </c>
      <c r="AC132" s="869">
        <v>1</v>
      </c>
      <c r="AD132" s="870"/>
      <c r="AE132" s="957">
        <v>0</v>
      </c>
      <c r="AF132" s="870"/>
      <c r="AG132" s="902">
        <f t="shared" ref="AG132:AG140" si="29">(AC132*AE132)</f>
        <v>0</v>
      </c>
    </row>
    <row r="133" spans="1:35" ht="21.9" customHeight="1" x14ac:dyDescent="0.35">
      <c r="L133" s="877">
        <v>1.2</v>
      </c>
      <c r="M133" s="878" t="s">
        <v>752</v>
      </c>
      <c r="N133" s="879"/>
      <c r="O133" s="879"/>
      <c r="P133" s="880"/>
      <c r="Q133" s="877" t="s">
        <v>747</v>
      </c>
      <c r="R133" s="877">
        <v>1</v>
      </c>
      <c r="S133" s="878"/>
      <c r="T133" s="881">
        <v>0.85729999999999995</v>
      </c>
      <c r="U133" s="878"/>
      <c r="V133" s="882">
        <f t="shared" si="28"/>
        <v>13395.3125</v>
      </c>
      <c r="W133" s="869">
        <v>1.2</v>
      </c>
      <c r="X133" s="870" t="s">
        <v>753</v>
      </c>
      <c r="Y133" s="883"/>
      <c r="Z133" s="883"/>
      <c r="AA133" s="884"/>
      <c r="AB133" s="869" t="s">
        <v>749</v>
      </c>
      <c r="AC133" s="869">
        <v>0</v>
      </c>
      <c r="AD133" s="870"/>
      <c r="AE133" s="871">
        <v>0</v>
      </c>
      <c r="AF133" s="870"/>
      <c r="AG133" s="871">
        <f t="shared" si="29"/>
        <v>0</v>
      </c>
      <c r="AH133" s="951"/>
    </row>
    <row r="134" spans="1:35" ht="21.9" customHeight="1" x14ac:dyDescent="0.35">
      <c r="L134" s="877">
        <v>1.3</v>
      </c>
      <c r="M134" s="878" t="s">
        <v>754</v>
      </c>
      <c r="N134" s="879"/>
      <c r="O134" s="879"/>
      <c r="P134" s="880"/>
      <c r="Q134" s="877" t="s">
        <v>747</v>
      </c>
      <c r="R134" s="898">
        <v>1</v>
      </c>
      <c r="S134" s="878"/>
      <c r="T134" s="881">
        <v>0.01</v>
      </c>
      <c r="U134" s="878"/>
      <c r="V134" s="882">
        <f t="shared" si="28"/>
        <v>156.25</v>
      </c>
      <c r="W134" s="869">
        <v>1.3</v>
      </c>
      <c r="X134" s="870" t="s">
        <v>755</v>
      </c>
      <c r="Y134" s="883"/>
      <c r="Z134" s="883"/>
      <c r="AA134" s="884"/>
      <c r="AB134" s="869" t="s">
        <v>749</v>
      </c>
      <c r="AC134" s="869">
        <v>1</v>
      </c>
      <c r="AD134" s="870"/>
      <c r="AE134" s="902">
        <v>15000</v>
      </c>
      <c r="AF134" s="870"/>
      <c r="AG134" s="902">
        <f t="shared" si="29"/>
        <v>15000</v>
      </c>
    </row>
    <row r="135" spans="1:35" ht="21.9" customHeight="1" x14ac:dyDescent="0.35">
      <c r="L135" s="877">
        <v>1.4</v>
      </c>
      <c r="M135" s="878" t="s">
        <v>453</v>
      </c>
      <c r="N135" s="879"/>
      <c r="O135" s="879"/>
      <c r="P135" s="880"/>
      <c r="Q135" s="877" t="s">
        <v>747</v>
      </c>
      <c r="R135" s="877">
        <v>1</v>
      </c>
      <c r="S135" s="878"/>
      <c r="T135" s="881">
        <v>0.12809999999999999</v>
      </c>
      <c r="U135" s="878"/>
      <c r="V135" s="882">
        <f t="shared" si="28"/>
        <v>2001.5625</v>
      </c>
      <c r="W135" s="869">
        <v>1.4</v>
      </c>
      <c r="X135" s="870" t="s">
        <v>454</v>
      </c>
      <c r="Y135" s="883"/>
      <c r="Z135" s="883"/>
      <c r="AA135" s="884"/>
      <c r="AB135" s="869" t="s">
        <v>749</v>
      </c>
      <c r="AC135" s="869">
        <v>0</v>
      </c>
      <c r="AD135" s="870"/>
      <c r="AE135" s="871">
        <v>0</v>
      </c>
      <c r="AF135" s="870"/>
      <c r="AG135" s="902">
        <f t="shared" si="29"/>
        <v>0</v>
      </c>
      <c r="AH135" s="997"/>
    </row>
    <row r="136" spans="1:35" ht="21.9" customHeight="1" x14ac:dyDescent="0.35">
      <c r="L136" s="900">
        <v>2</v>
      </c>
      <c r="M136" s="901" t="s">
        <v>455</v>
      </c>
      <c r="N136" s="879"/>
      <c r="O136" s="879"/>
      <c r="P136" s="880"/>
      <c r="Q136" s="877"/>
      <c r="R136" s="877"/>
      <c r="S136" s="878"/>
      <c r="T136" s="882">
        <v>0</v>
      </c>
      <c r="U136" s="878"/>
      <c r="V136" s="882">
        <f t="shared" si="28"/>
        <v>0</v>
      </c>
      <c r="W136" s="869">
        <v>1.5</v>
      </c>
      <c r="X136" s="870" t="s">
        <v>456</v>
      </c>
      <c r="Y136" s="883"/>
      <c r="Z136" s="883"/>
      <c r="AA136" s="884"/>
      <c r="AB136" s="869" t="s">
        <v>749</v>
      </c>
      <c r="AC136" s="869">
        <v>1</v>
      </c>
      <c r="AD136" s="870"/>
      <c r="AE136" s="902">
        <v>8000</v>
      </c>
      <c r="AF136" s="870"/>
      <c r="AG136" s="902">
        <f t="shared" si="29"/>
        <v>8000</v>
      </c>
      <c r="AH136" s="997"/>
    </row>
    <row r="137" spans="1:35" ht="21.9" customHeight="1" x14ac:dyDescent="0.35">
      <c r="L137" s="877">
        <v>2.1</v>
      </c>
      <c r="M137" s="878" t="s">
        <v>457</v>
      </c>
      <c r="N137" s="879"/>
      <c r="O137" s="879"/>
      <c r="P137" s="880"/>
      <c r="Q137" s="877" t="s">
        <v>747</v>
      </c>
      <c r="R137" s="877">
        <v>1</v>
      </c>
      <c r="S137" s="878"/>
      <c r="T137" s="881">
        <v>0.45629999999999998</v>
      </c>
      <c r="U137" s="878"/>
      <c r="V137" s="882">
        <f t="shared" si="28"/>
        <v>7129.6875</v>
      </c>
      <c r="W137" s="869">
        <v>1.6</v>
      </c>
      <c r="X137" s="870" t="s">
        <v>458</v>
      </c>
      <c r="Y137" s="883"/>
      <c r="Z137" s="883"/>
      <c r="AA137" s="884"/>
      <c r="AB137" s="869" t="s">
        <v>749</v>
      </c>
      <c r="AC137" s="869">
        <v>1</v>
      </c>
      <c r="AD137" s="870"/>
      <c r="AE137" s="902">
        <v>6000</v>
      </c>
      <c r="AF137" s="870"/>
      <c r="AG137" s="902">
        <f t="shared" si="29"/>
        <v>6000</v>
      </c>
      <c r="AH137" s="997"/>
    </row>
    <row r="138" spans="1:35" ht="21.9" customHeight="1" x14ac:dyDescent="0.4">
      <c r="A138" s="942" t="s">
        <v>741</v>
      </c>
      <c r="B138" s="942"/>
      <c r="C138" s="942"/>
      <c r="D138" s="942"/>
      <c r="E138" s="942"/>
      <c r="F138" s="942"/>
      <c r="G138" s="942"/>
      <c r="H138" s="942"/>
      <c r="I138" s="942"/>
      <c r="J138" s="942"/>
      <c r="L138" s="877">
        <v>2.2000000000000002</v>
      </c>
      <c r="M138" s="878" t="s">
        <v>459</v>
      </c>
      <c r="N138" s="879"/>
      <c r="O138" s="879"/>
      <c r="P138" s="880"/>
      <c r="Q138" s="877" t="s">
        <v>747</v>
      </c>
      <c r="R138" s="877">
        <v>1</v>
      </c>
      <c r="S138" s="878"/>
      <c r="T138" s="881">
        <v>1.2927999999999999</v>
      </c>
      <c r="U138" s="878"/>
      <c r="V138" s="882">
        <f t="shared" si="28"/>
        <v>20200</v>
      </c>
      <c r="W138" s="869">
        <v>1.7</v>
      </c>
      <c r="X138" s="870" t="s">
        <v>460</v>
      </c>
      <c r="Y138" s="883"/>
      <c r="Z138" s="883"/>
      <c r="AA138" s="884"/>
      <c r="AB138" s="869" t="s">
        <v>749</v>
      </c>
      <c r="AC138" s="869">
        <v>1</v>
      </c>
      <c r="AD138" s="870"/>
      <c r="AE138" s="902">
        <v>6000</v>
      </c>
      <c r="AF138" s="870"/>
      <c r="AG138" s="902">
        <f t="shared" si="29"/>
        <v>6000</v>
      </c>
      <c r="AH138" s="997"/>
    </row>
    <row r="139" spans="1:35" ht="21.9" customHeight="1" x14ac:dyDescent="0.4">
      <c r="A139" s="942" t="s">
        <v>741</v>
      </c>
      <c r="B139" s="942"/>
      <c r="C139" s="942"/>
      <c r="D139" s="942"/>
      <c r="E139" s="942"/>
      <c r="F139" s="942"/>
      <c r="G139" s="942"/>
      <c r="H139" s="942"/>
      <c r="I139" s="942"/>
      <c r="J139" s="942"/>
      <c r="L139" s="877">
        <v>2.2999999999999998</v>
      </c>
      <c r="M139" s="878" t="s">
        <v>461</v>
      </c>
      <c r="N139" s="879"/>
      <c r="O139" s="879"/>
      <c r="P139" s="880"/>
      <c r="Q139" s="877" t="s">
        <v>747</v>
      </c>
      <c r="R139" s="877">
        <v>1</v>
      </c>
      <c r="S139" s="878"/>
      <c r="T139" s="881">
        <v>2.4299999999999999E-2</v>
      </c>
      <c r="U139" s="878"/>
      <c r="V139" s="882">
        <f t="shared" si="28"/>
        <v>379.6875</v>
      </c>
      <c r="W139" s="869">
        <v>1.8</v>
      </c>
      <c r="X139" s="870" t="s">
        <v>462</v>
      </c>
      <c r="Y139" s="845"/>
      <c r="Z139" s="845"/>
      <c r="AA139" s="868"/>
      <c r="AB139" s="869" t="s">
        <v>749</v>
      </c>
      <c r="AC139" s="869">
        <v>0</v>
      </c>
      <c r="AD139" s="870"/>
      <c r="AE139" s="871">
        <v>0</v>
      </c>
      <c r="AF139" s="870"/>
      <c r="AG139" s="871">
        <f t="shared" si="29"/>
        <v>0</v>
      </c>
      <c r="AH139" s="997"/>
    </row>
    <row r="140" spans="1:35" ht="21.9" customHeight="1" x14ac:dyDescent="0.4">
      <c r="A140" s="942" t="s">
        <v>741</v>
      </c>
      <c r="B140" s="942"/>
      <c r="C140" s="942"/>
      <c r="D140" s="942"/>
      <c r="E140" s="942"/>
      <c r="F140" s="942"/>
      <c r="G140" s="942"/>
      <c r="H140" s="942"/>
      <c r="I140" s="942"/>
      <c r="J140" s="942"/>
      <c r="L140" s="877">
        <v>2.4</v>
      </c>
      <c r="M140" s="878" t="s">
        <v>463</v>
      </c>
      <c r="N140" s="879"/>
      <c r="O140" s="879"/>
      <c r="P140" s="880"/>
      <c r="Q140" s="877" t="s">
        <v>747</v>
      </c>
      <c r="R140" s="877">
        <v>1</v>
      </c>
      <c r="S140" s="878"/>
      <c r="T140" s="881">
        <v>5.0500000000000003E-2</v>
      </c>
      <c r="U140" s="878"/>
      <c r="V140" s="882">
        <f t="shared" si="28"/>
        <v>789.0625</v>
      </c>
      <c r="W140" s="869">
        <v>1.9</v>
      </c>
      <c r="X140" s="870" t="s">
        <v>464</v>
      </c>
      <c r="Y140" s="883"/>
      <c r="Z140" s="883"/>
      <c r="AA140" s="884"/>
      <c r="AB140" s="869" t="s">
        <v>749</v>
      </c>
      <c r="AC140" s="869">
        <v>0</v>
      </c>
      <c r="AD140" s="870"/>
      <c r="AE140" s="871">
        <v>0</v>
      </c>
      <c r="AF140" s="870"/>
      <c r="AG140" s="871">
        <f t="shared" si="29"/>
        <v>0</v>
      </c>
      <c r="AH140" s="997"/>
    </row>
    <row r="141" spans="1:35" ht="21.9" customHeight="1" x14ac:dyDescent="0.4">
      <c r="A141" s="942" t="s">
        <v>741</v>
      </c>
      <c r="B141" s="942"/>
      <c r="C141" s="942"/>
      <c r="D141" s="942"/>
      <c r="E141" s="942"/>
      <c r="F141" s="942"/>
      <c r="G141" s="942"/>
      <c r="H141" s="942"/>
      <c r="I141" s="942"/>
      <c r="J141" s="942"/>
      <c r="L141" s="877" t="s">
        <v>741</v>
      </c>
      <c r="M141" s="878" t="s">
        <v>741</v>
      </c>
      <c r="N141" s="879"/>
      <c r="O141" s="879"/>
      <c r="P141" s="880"/>
      <c r="Q141" s="877" t="s">
        <v>741</v>
      </c>
      <c r="R141" s="877" t="s">
        <v>741</v>
      </c>
      <c r="S141" s="878"/>
      <c r="T141" s="882">
        <v>0</v>
      </c>
      <c r="U141" s="878" t="s">
        <v>741</v>
      </c>
      <c r="V141" s="882">
        <f t="shared" si="28"/>
        <v>0</v>
      </c>
      <c r="W141" s="869" t="s">
        <v>741</v>
      </c>
      <c r="X141" s="870" t="s">
        <v>741</v>
      </c>
      <c r="Y141" s="883"/>
      <c r="Z141" s="883"/>
      <c r="AA141" s="884"/>
      <c r="AB141" s="869" t="s">
        <v>741</v>
      </c>
      <c r="AC141" s="869" t="s">
        <v>741</v>
      </c>
      <c r="AD141" s="870"/>
      <c r="AE141" s="871" t="s">
        <v>741</v>
      </c>
      <c r="AF141" s="870"/>
      <c r="AG141" s="871" t="s">
        <v>741</v>
      </c>
      <c r="AH141" s="997"/>
    </row>
    <row r="142" spans="1:35" ht="21.9" customHeight="1" x14ac:dyDescent="0.4">
      <c r="A142" s="942" t="s">
        <v>741</v>
      </c>
      <c r="B142" s="942"/>
      <c r="C142" s="942"/>
      <c r="D142" s="942"/>
      <c r="E142" s="942"/>
      <c r="F142" s="942"/>
      <c r="G142" s="942"/>
      <c r="H142" s="942"/>
      <c r="I142" s="942"/>
      <c r="J142" s="942"/>
      <c r="L142" s="877" t="s">
        <v>741</v>
      </c>
      <c r="M142" s="878" t="s">
        <v>741</v>
      </c>
      <c r="N142" s="879"/>
      <c r="O142" s="879"/>
      <c r="P142" s="880"/>
      <c r="Q142" s="877" t="s">
        <v>741</v>
      </c>
      <c r="R142" s="877" t="s">
        <v>741</v>
      </c>
      <c r="S142" s="878"/>
      <c r="T142" s="882">
        <v>0</v>
      </c>
      <c r="U142" s="878" t="s">
        <v>741</v>
      </c>
      <c r="V142" s="882">
        <f t="shared" si="28"/>
        <v>0</v>
      </c>
      <c r="W142" s="869" t="s">
        <v>741</v>
      </c>
      <c r="X142" s="870" t="s">
        <v>741</v>
      </c>
      <c r="Y142" s="883"/>
      <c r="Z142" s="883"/>
      <c r="AA142" s="884"/>
      <c r="AB142" s="869" t="s">
        <v>741</v>
      </c>
      <c r="AC142" s="869" t="s">
        <v>741</v>
      </c>
      <c r="AD142" s="870"/>
      <c r="AE142" s="871" t="s">
        <v>741</v>
      </c>
      <c r="AF142" s="870"/>
      <c r="AG142" s="871" t="s">
        <v>741</v>
      </c>
      <c r="AH142" s="997"/>
    </row>
    <row r="143" spans="1:35" ht="21.9" customHeight="1" x14ac:dyDescent="0.4">
      <c r="A143" s="942" t="s">
        <v>741</v>
      </c>
      <c r="B143" s="942"/>
      <c r="C143" s="942"/>
      <c r="D143" s="942"/>
      <c r="E143" s="942"/>
      <c r="F143" s="942"/>
      <c r="G143" s="942"/>
      <c r="H143" s="942"/>
      <c r="I143" s="942"/>
      <c r="J143" s="942"/>
      <c r="L143" s="903" t="s">
        <v>260</v>
      </c>
      <c r="M143" s="904"/>
      <c r="N143" s="904"/>
      <c r="O143" s="904"/>
      <c r="P143" s="904"/>
      <c r="Q143" s="904"/>
      <c r="R143" s="904"/>
      <c r="S143" s="904"/>
      <c r="T143" s="905"/>
      <c r="U143" s="906"/>
      <c r="V143" s="907">
        <f>SUM(V131:V142)</f>
        <v>45318.75</v>
      </c>
      <c r="W143" s="908" t="s">
        <v>260</v>
      </c>
      <c r="X143" s="909"/>
      <c r="Y143" s="909"/>
      <c r="Z143" s="909"/>
      <c r="AA143" s="909"/>
      <c r="AB143" s="909"/>
      <c r="AC143" s="909"/>
      <c r="AD143" s="909"/>
      <c r="AE143" s="910"/>
      <c r="AF143" s="911"/>
      <c r="AG143" s="998">
        <f>SUM(AG132:AG142)</f>
        <v>35000</v>
      </c>
      <c r="AH143" s="997"/>
    </row>
    <row r="144" spans="1:35" ht="21.9" customHeight="1" x14ac:dyDescent="0.4">
      <c r="A144" s="942" t="s">
        <v>741</v>
      </c>
      <c r="B144" s="942"/>
      <c r="C144" s="942"/>
      <c r="D144" s="942"/>
      <c r="E144" s="942"/>
      <c r="F144" s="942"/>
      <c r="G144" s="942"/>
      <c r="H144" s="942"/>
      <c r="I144" s="942"/>
      <c r="J144" s="942"/>
      <c r="L144" s="999"/>
      <c r="M144" s="999"/>
      <c r="N144" s="999"/>
      <c r="O144" s="999"/>
      <c r="P144" s="999"/>
      <c r="Q144" s="999"/>
      <c r="R144" s="999"/>
      <c r="S144" s="999"/>
      <c r="T144" s="999"/>
      <c r="U144" s="999"/>
      <c r="V144" s="999"/>
      <c r="W144" s="1000"/>
      <c r="X144" s="1000"/>
      <c r="Y144" s="1000"/>
      <c r="Z144" s="1000"/>
      <c r="AA144" s="1000"/>
      <c r="AB144" s="1000"/>
      <c r="AC144" s="1000"/>
      <c r="AD144" s="1000"/>
      <c r="AE144" s="1000"/>
      <c r="AF144" s="1000"/>
      <c r="AG144" s="1000"/>
      <c r="AH144" s="997"/>
    </row>
    <row r="145" spans="1:34" ht="21.9" customHeight="1" x14ac:dyDescent="0.4">
      <c r="A145" s="942"/>
      <c r="B145" s="942"/>
      <c r="C145" s="942"/>
      <c r="D145" s="942"/>
      <c r="E145" s="942"/>
      <c r="F145" s="942"/>
      <c r="G145" s="942"/>
      <c r="H145" s="942"/>
      <c r="I145" s="942"/>
      <c r="J145" s="942"/>
      <c r="L145" s="930" t="s">
        <v>227</v>
      </c>
      <c r="M145" s="930"/>
      <c r="N145" s="930"/>
      <c r="O145" s="930"/>
      <c r="P145" s="930"/>
      <c r="Q145" s="930"/>
      <c r="R145" s="930"/>
      <c r="S145" s="930"/>
      <c r="T145" s="930"/>
      <c r="U145" s="930"/>
      <c r="V145" s="930"/>
      <c r="W145" s="828" t="s">
        <v>228</v>
      </c>
      <c r="X145" s="828"/>
      <c r="Y145" s="828"/>
      <c r="Z145" s="828"/>
      <c r="AA145" s="828"/>
      <c r="AB145" s="828"/>
      <c r="AC145" s="828"/>
      <c r="AD145" s="828"/>
      <c r="AE145" s="828"/>
      <c r="AF145" s="828"/>
      <c r="AG145" s="828"/>
      <c r="AH145" s="997"/>
    </row>
    <row r="146" spans="1:34" ht="21.9" customHeight="1" x14ac:dyDescent="0.4">
      <c r="A146" s="942"/>
      <c r="B146" s="942"/>
      <c r="C146" s="942"/>
      <c r="D146" s="942"/>
      <c r="E146" s="942"/>
      <c r="F146" s="942"/>
      <c r="G146" s="942"/>
      <c r="H146" s="942"/>
      <c r="I146" s="942"/>
      <c r="J146" s="942"/>
      <c r="L146" s="831"/>
      <c r="M146" s="831"/>
      <c r="N146" s="831"/>
      <c r="O146" s="831"/>
      <c r="P146" s="831"/>
      <c r="Q146" s="831"/>
      <c r="R146" s="831"/>
      <c r="S146" s="831"/>
      <c r="T146" s="831"/>
      <c r="U146" s="831"/>
      <c r="V146" s="831"/>
      <c r="AH146" s="997"/>
    </row>
    <row r="147" spans="1:34" ht="21.9" customHeight="1" x14ac:dyDescent="0.4">
      <c r="A147" s="942"/>
      <c r="B147" s="942"/>
      <c r="C147" s="942"/>
      <c r="D147" s="942"/>
      <c r="E147" s="942"/>
      <c r="F147" s="942"/>
      <c r="G147" s="942"/>
      <c r="H147" s="942"/>
      <c r="I147" s="942"/>
      <c r="J147" s="942"/>
      <c r="L147" s="831"/>
      <c r="M147" s="837" t="s">
        <v>229</v>
      </c>
      <c r="N147" s="837"/>
      <c r="O147" s="837"/>
      <c r="P147" s="837">
        <v>30</v>
      </c>
      <c r="Q147" s="837" t="s">
        <v>660</v>
      </c>
      <c r="R147" s="831"/>
      <c r="S147" s="838" t="s">
        <v>518</v>
      </c>
      <c r="T147" s="837">
        <f>E18</f>
        <v>17</v>
      </c>
      <c r="U147" s="839" t="s">
        <v>519</v>
      </c>
      <c r="V147" s="831"/>
      <c r="X147" s="840" t="s">
        <v>230</v>
      </c>
      <c r="Y147" s="840"/>
      <c r="Z147" s="840"/>
      <c r="AA147" s="840">
        <v>30</v>
      </c>
      <c r="AB147" s="840" t="s">
        <v>660</v>
      </c>
      <c r="AD147" s="838" t="s">
        <v>518</v>
      </c>
      <c r="AE147" s="837">
        <f>E18</f>
        <v>17</v>
      </c>
      <c r="AF147" s="839" t="s">
        <v>519</v>
      </c>
      <c r="AH147" s="997"/>
    </row>
    <row r="148" spans="1:34" ht="21.9" customHeight="1" x14ac:dyDescent="0.4">
      <c r="A148" s="942"/>
      <c r="B148" s="942"/>
      <c r="C148" s="942"/>
      <c r="D148" s="942"/>
      <c r="E148" s="942"/>
      <c r="F148" s="942"/>
      <c r="G148" s="942"/>
      <c r="H148" s="942"/>
      <c r="I148" s="942"/>
      <c r="J148" s="942"/>
      <c r="L148" s="847" t="s">
        <v>522</v>
      </c>
      <c r="M148" s="848" t="s">
        <v>523</v>
      </c>
      <c r="N148" s="849"/>
      <c r="O148" s="849"/>
      <c r="P148" s="850"/>
      <c r="Q148" s="847" t="s">
        <v>524</v>
      </c>
      <c r="R148" s="847" t="s">
        <v>525</v>
      </c>
      <c r="S148" s="851" t="s">
        <v>526</v>
      </c>
      <c r="T148" s="852"/>
      <c r="U148" s="851" t="s">
        <v>527</v>
      </c>
      <c r="V148" s="852"/>
      <c r="W148" s="847" t="s">
        <v>522</v>
      </c>
      <c r="X148" s="848" t="s">
        <v>523</v>
      </c>
      <c r="Y148" s="849"/>
      <c r="Z148" s="849"/>
      <c r="AA148" s="850"/>
      <c r="AB148" s="847" t="s">
        <v>524</v>
      </c>
      <c r="AC148" s="847" t="s">
        <v>525</v>
      </c>
      <c r="AD148" s="851" t="s">
        <v>528</v>
      </c>
      <c r="AE148" s="852"/>
      <c r="AF148" s="851" t="s">
        <v>529</v>
      </c>
      <c r="AG148" s="852"/>
      <c r="AH148" s="997"/>
    </row>
    <row r="149" spans="1:34" ht="21.9" customHeight="1" x14ac:dyDescent="0.4">
      <c r="A149" s="942"/>
      <c r="B149" s="942"/>
      <c r="C149" s="942"/>
      <c r="D149" s="942"/>
      <c r="E149" s="942"/>
      <c r="F149" s="942"/>
      <c r="G149" s="942"/>
      <c r="H149" s="942"/>
      <c r="I149" s="942"/>
      <c r="J149" s="942"/>
      <c r="L149" s="854"/>
      <c r="M149" s="855"/>
      <c r="N149" s="856"/>
      <c r="O149" s="856"/>
      <c r="P149" s="857"/>
      <c r="Q149" s="854"/>
      <c r="R149" s="854"/>
      <c r="S149" s="858" t="s">
        <v>533</v>
      </c>
      <c r="T149" s="859"/>
      <c r="U149" s="858" t="s">
        <v>732</v>
      </c>
      <c r="V149" s="859"/>
      <c r="W149" s="854"/>
      <c r="X149" s="855"/>
      <c r="Y149" s="856"/>
      <c r="Z149" s="856"/>
      <c r="AA149" s="857"/>
      <c r="AB149" s="854"/>
      <c r="AC149" s="854"/>
      <c r="AD149" s="858" t="s">
        <v>733</v>
      </c>
      <c r="AE149" s="859"/>
      <c r="AF149" s="858" t="s">
        <v>732</v>
      </c>
      <c r="AG149" s="859"/>
      <c r="AH149" s="997"/>
    </row>
    <row r="150" spans="1:34" ht="21.9" customHeight="1" x14ac:dyDescent="0.4">
      <c r="A150" s="942"/>
      <c r="B150" s="942"/>
      <c r="C150" s="942"/>
      <c r="D150" s="942"/>
      <c r="E150" s="942"/>
      <c r="F150" s="942"/>
      <c r="G150" s="942"/>
      <c r="H150" s="942"/>
      <c r="I150" s="942"/>
      <c r="J150" s="942"/>
      <c r="L150" s="860">
        <v>1</v>
      </c>
      <c r="M150" s="861" t="s">
        <v>739</v>
      </c>
      <c r="N150" s="862"/>
      <c r="O150" s="862"/>
      <c r="P150" s="863"/>
      <c r="Q150" s="864"/>
      <c r="R150" s="864"/>
      <c r="S150" s="865"/>
      <c r="T150" s="863"/>
      <c r="U150" s="865"/>
      <c r="V150" s="863"/>
      <c r="W150" s="866">
        <v>1</v>
      </c>
      <c r="X150" s="867" t="s">
        <v>740</v>
      </c>
      <c r="Y150" s="845"/>
      <c r="Z150" s="845"/>
      <c r="AA150" s="868"/>
      <c r="AB150" s="869"/>
      <c r="AC150" s="869"/>
      <c r="AD150" s="870"/>
      <c r="AE150" s="871"/>
      <c r="AF150" s="870"/>
      <c r="AG150" s="872" t="s">
        <v>741</v>
      </c>
      <c r="AH150" s="997"/>
    </row>
    <row r="151" spans="1:34" ht="21.9" customHeight="1" x14ac:dyDescent="0.4">
      <c r="A151" s="942"/>
      <c r="B151" s="942"/>
      <c r="C151" s="942"/>
      <c r="D151" s="942"/>
      <c r="E151" s="942"/>
      <c r="F151" s="942"/>
      <c r="G151" s="942"/>
      <c r="H151" s="942"/>
      <c r="I151" s="942"/>
      <c r="J151" s="942"/>
      <c r="L151" s="877">
        <v>1.1000000000000001</v>
      </c>
      <c r="M151" s="878" t="s">
        <v>1437</v>
      </c>
      <c r="N151" s="879"/>
      <c r="O151" s="879"/>
      <c r="P151" s="880"/>
      <c r="Q151" s="877" t="s">
        <v>747</v>
      </c>
      <c r="R151" s="877">
        <v>1</v>
      </c>
      <c r="S151" s="878"/>
      <c r="T151" s="881">
        <v>8.1100000000000005E-2</v>
      </c>
      <c r="U151" s="878"/>
      <c r="V151" s="882">
        <f t="shared" ref="V151:V161" si="30">((($P$147*1000000)*T151)/100)/$T$147</f>
        <v>1431.1764705882354</v>
      </c>
      <c r="W151" s="869">
        <v>1.1000000000000001</v>
      </c>
      <c r="X151" s="870" t="s">
        <v>748</v>
      </c>
      <c r="Y151" s="883"/>
      <c r="Z151" s="883"/>
      <c r="AA151" s="884"/>
      <c r="AB151" s="869" t="s">
        <v>749</v>
      </c>
      <c r="AC151" s="869">
        <v>1</v>
      </c>
      <c r="AD151" s="870"/>
      <c r="AE151" s="957">
        <v>30000</v>
      </c>
      <c r="AF151" s="870"/>
      <c r="AG151" s="902">
        <f t="shared" ref="AG151:AG159" si="31">(AC151*AE151)</f>
        <v>30000</v>
      </c>
      <c r="AH151" s="997"/>
    </row>
    <row r="152" spans="1:34" ht="21.9" customHeight="1" x14ac:dyDescent="0.4">
      <c r="A152" s="942"/>
      <c r="B152" s="942"/>
      <c r="C152" s="942"/>
      <c r="D152" s="942"/>
      <c r="E152" s="942"/>
      <c r="F152" s="942"/>
      <c r="G152" s="942"/>
      <c r="H152" s="942"/>
      <c r="I152" s="942"/>
      <c r="J152" s="942"/>
      <c r="L152" s="877">
        <v>1.2</v>
      </c>
      <c r="M152" s="878" t="s">
        <v>752</v>
      </c>
      <c r="N152" s="879"/>
      <c r="O152" s="879"/>
      <c r="P152" s="880"/>
      <c r="Q152" s="877" t="s">
        <v>747</v>
      </c>
      <c r="R152" s="877">
        <v>1</v>
      </c>
      <c r="S152" s="878"/>
      <c r="T152" s="881">
        <v>0.85729999999999995</v>
      </c>
      <c r="U152" s="878"/>
      <c r="V152" s="882">
        <f t="shared" si="30"/>
        <v>15128.823529411764</v>
      </c>
      <c r="W152" s="869">
        <v>1.2</v>
      </c>
      <c r="X152" s="870" t="s">
        <v>753</v>
      </c>
      <c r="Y152" s="883"/>
      <c r="Z152" s="883"/>
      <c r="AA152" s="884"/>
      <c r="AB152" s="869" t="s">
        <v>749</v>
      </c>
      <c r="AC152" s="869">
        <v>0</v>
      </c>
      <c r="AD152" s="870"/>
      <c r="AE152" s="902">
        <v>0</v>
      </c>
      <c r="AF152" s="870"/>
      <c r="AG152" s="902">
        <f t="shared" si="31"/>
        <v>0</v>
      </c>
      <c r="AH152" s="997"/>
    </row>
    <row r="153" spans="1:34" ht="21.9" customHeight="1" x14ac:dyDescent="0.4">
      <c r="A153" s="942"/>
      <c r="B153" s="942"/>
      <c r="C153" s="942"/>
      <c r="D153" s="942"/>
      <c r="E153" s="942"/>
      <c r="F153" s="942"/>
      <c r="G153" s="942"/>
      <c r="H153" s="942"/>
      <c r="I153" s="942"/>
      <c r="J153" s="942"/>
      <c r="L153" s="877">
        <v>1.3</v>
      </c>
      <c r="M153" s="878" t="s">
        <v>754</v>
      </c>
      <c r="N153" s="879"/>
      <c r="O153" s="879"/>
      <c r="P153" s="880"/>
      <c r="Q153" s="877" t="s">
        <v>747</v>
      </c>
      <c r="R153" s="898">
        <v>1</v>
      </c>
      <c r="S153" s="878"/>
      <c r="T153" s="881">
        <v>0.01</v>
      </c>
      <c r="U153" s="878"/>
      <c r="V153" s="882">
        <f t="shared" si="30"/>
        <v>176.47058823529412</v>
      </c>
      <c r="W153" s="869">
        <v>1.3</v>
      </c>
      <c r="X153" s="870" t="s">
        <v>755</v>
      </c>
      <c r="Y153" s="883"/>
      <c r="Z153" s="883"/>
      <c r="AA153" s="884"/>
      <c r="AB153" s="869" t="s">
        <v>749</v>
      </c>
      <c r="AC153" s="869">
        <v>1</v>
      </c>
      <c r="AD153" s="870"/>
      <c r="AE153" s="902">
        <v>15000</v>
      </c>
      <c r="AF153" s="870"/>
      <c r="AG153" s="902">
        <f t="shared" si="31"/>
        <v>15000</v>
      </c>
      <c r="AH153" s="997"/>
    </row>
    <row r="154" spans="1:34" ht="21.9" customHeight="1" x14ac:dyDescent="0.4">
      <c r="A154" s="942"/>
      <c r="B154" s="942"/>
      <c r="C154" s="942"/>
      <c r="D154" s="942"/>
      <c r="E154" s="942"/>
      <c r="F154" s="942"/>
      <c r="G154" s="942"/>
      <c r="H154" s="942"/>
      <c r="I154" s="942"/>
      <c r="J154" s="942"/>
      <c r="L154" s="877">
        <v>1.4</v>
      </c>
      <c r="M154" s="878" t="s">
        <v>453</v>
      </c>
      <c r="N154" s="879"/>
      <c r="O154" s="879"/>
      <c r="P154" s="880"/>
      <c r="Q154" s="877" t="s">
        <v>747</v>
      </c>
      <c r="R154" s="877">
        <v>1</v>
      </c>
      <c r="S154" s="878"/>
      <c r="T154" s="881">
        <v>9.3899999999999997E-2</v>
      </c>
      <c r="U154" s="878"/>
      <c r="V154" s="882">
        <f t="shared" si="30"/>
        <v>1657.0588235294117</v>
      </c>
      <c r="W154" s="869">
        <v>1.4</v>
      </c>
      <c r="X154" s="870" t="s">
        <v>454</v>
      </c>
      <c r="Y154" s="883"/>
      <c r="Z154" s="883"/>
      <c r="AA154" s="884"/>
      <c r="AB154" s="869" t="s">
        <v>749</v>
      </c>
      <c r="AC154" s="869">
        <v>0</v>
      </c>
      <c r="AD154" s="870"/>
      <c r="AE154" s="902">
        <v>0</v>
      </c>
      <c r="AF154" s="870"/>
      <c r="AG154" s="902">
        <f t="shared" si="31"/>
        <v>0</v>
      </c>
      <c r="AH154" s="997"/>
    </row>
    <row r="155" spans="1:34" ht="21.9" customHeight="1" x14ac:dyDescent="0.4">
      <c r="A155" s="942"/>
      <c r="B155" s="942"/>
      <c r="C155" s="942"/>
      <c r="D155" s="942"/>
      <c r="E155" s="942"/>
      <c r="F155" s="942"/>
      <c r="G155" s="942"/>
      <c r="H155" s="942"/>
      <c r="I155" s="942"/>
      <c r="J155" s="942"/>
      <c r="L155" s="900">
        <v>2</v>
      </c>
      <c r="M155" s="901" t="s">
        <v>455</v>
      </c>
      <c r="N155" s="879"/>
      <c r="O155" s="879"/>
      <c r="P155" s="880"/>
      <c r="Q155" s="877"/>
      <c r="R155" s="877"/>
      <c r="S155" s="878"/>
      <c r="T155" s="882">
        <v>0</v>
      </c>
      <c r="U155" s="878"/>
      <c r="V155" s="882">
        <f t="shared" si="30"/>
        <v>0</v>
      </c>
      <c r="W155" s="869">
        <v>1.5</v>
      </c>
      <c r="X155" s="870" t="s">
        <v>456</v>
      </c>
      <c r="Y155" s="883"/>
      <c r="Z155" s="883"/>
      <c r="AA155" s="884"/>
      <c r="AB155" s="869" t="s">
        <v>749</v>
      </c>
      <c r="AC155" s="869">
        <v>1</v>
      </c>
      <c r="AD155" s="870"/>
      <c r="AE155" s="902">
        <v>8000</v>
      </c>
      <c r="AF155" s="870"/>
      <c r="AG155" s="902">
        <f t="shared" si="31"/>
        <v>8000</v>
      </c>
      <c r="AH155" s="997"/>
    </row>
    <row r="156" spans="1:34" ht="21.9" customHeight="1" x14ac:dyDescent="0.4">
      <c r="A156" s="942"/>
      <c r="B156" s="942"/>
      <c r="C156" s="942"/>
      <c r="D156" s="942"/>
      <c r="E156" s="942"/>
      <c r="F156" s="942"/>
      <c r="G156" s="942"/>
      <c r="H156" s="942"/>
      <c r="I156" s="942"/>
      <c r="J156" s="942"/>
      <c r="L156" s="877">
        <v>2.1</v>
      </c>
      <c r="M156" s="878" t="s">
        <v>457</v>
      </c>
      <c r="N156" s="879"/>
      <c r="O156" s="879"/>
      <c r="P156" s="880"/>
      <c r="Q156" s="877" t="s">
        <v>747</v>
      </c>
      <c r="R156" s="877">
        <v>1</v>
      </c>
      <c r="S156" s="878"/>
      <c r="T156" s="881">
        <v>0.48089999999999999</v>
      </c>
      <c r="U156" s="878"/>
      <c r="V156" s="882">
        <f t="shared" si="30"/>
        <v>8486.4705882352937</v>
      </c>
      <c r="W156" s="869">
        <v>1.6</v>
      </c>
      <c r="X156" s="870" t="s">
        <v>458</v>
      </c>
      <c r="Y156" s="883"/>
      <c r="Z156" s="883"/>
      <c r="AA156" s="884"/>
      <c r="AB156" s="869" t="s">
        <v>749</v>
      </c>
      <c r="AC156" s="869">
        <v>1</v>
      </c>
      <c r="AD156" s="870"/>
      <c r="AE156" s="902">
        <v>6000</v>
      </c>
      <c r="AF156" s="870"/>
      <c r="AG156" s="902">
        <f t="shared" si="31"/>
        <v>6000</v>
      </c>
      <c r="AH156" s="997"/>
    </row>
    <row r="157" spans="1:34" ht="21.9" customHeight="1" x14ac:dyDescent="0.4">
      <c r="A157" s="942"/>
      <c r="B157" s="942"/>
      <c r="C157" s="942"/>
      <c r="D157" s="942"/>
      <c r="E157" s="942"/>
      <c r="F157" s="942"/>
      <c r="G157" s="942"/>
      <c r="H157" s="942"/>
      <c r="I157" s="942"/>
      <c r="J157" s="942"/>
      <c r="L157" s="877">
        <v>2.2000000000000002</v>
      </c>
      <c r="M157" s="878" t="s">
        <v>459</v>
      </c>
      <c r="N157" s="879"/>
      <c r="O157" s="879"/>
      <c r="P157" s="880"/>
      <c r="Q157" s="877" t="s">
        <v>747</v>
      </c>
      <c r="R157" s="877">
        <v>1</v>
      </c>
      <c r="S157" s="878"/>
      <c r="T157" s="881">
        <v>0.97019999999999995</v>
      </c>
      <c r="U157" s="878"/>
      <c r="V157" s="882">
        <f t="shared" si="30"/>
        <v>17121.176470588234</v>
      </c>
      <c r="W157" s="869">
        <v>1.7</v>
      </c>
      <c r="X157" s="870" t="s">
        <v>460</v>
      </c>
      <c r="Y157" s="883"/>
      <c r="Z157" s="883"/>
      <c r="AA157" s="884"/>
      <c r="AB157" s="869" t="s">
        <v>749</v>
      </c>
      <c r="AC157" s="869">
        <v>1</v>
      </c>
      <c r="AD157" s="870"/>
      <c r="AE157" s="902">
        <v>6000</v>
      </c>
      <c r="AF157" s="870"/>
      <c r="AG157" s="902">
        <f t="shared" si="31"/>
        <v>6000</v>
      </c>
      <c r="AH157" s="997"/>
    </row>
    <row r="158" spans="1:34" ht="21.9" customHeight="1" x14ac:dyDescent="0.4">
      <c r="A158" s="942"/>
      <c r="B158" s="942"/>
      <c r="C158" s="942"/>
      <c r="D158" s="942"/>
      <c r="E158" s="942"/>
      <c r="F158" s="942"/>
      <c r="G158" s="942"/>
      <c r="H158" s="942"/>
      <c r="I158" s="942"/>
      <c r="J158" s="942"/>
      <c r="L158" s="877">
        <v>2.2999999999999998</v>
      </c>
      <c r="M158" s="878" t="s">
        <v>461</v>
      </c>
      <c r="N158" s="879"/>
      <c r="O158" s="879"/>
      <c r="P158" s="880"/>
      <c r="Q158" s="877" t="s">
        <v>747</v>
      </c>
      <c r="R158" s="877">
        <v>1</v>
      </c>
      <c r="S158" s="878"/>
      <c r="T158" s="881">
        <v>2.4299999999999999E-2</v>
      </c>
      <c r="U158" s="878"/>
      <c r="V158" s="882">
        <f t="shared" si="30"/>
        <v>428.8235294117647</v>
      </c>
      <c r="W158" s="869">
        <v>1.8</v>
      </c>
      <c r="X158" s="870" t="s">
        <v>462</v>
      </c>
      <c r="Y158" s="845"/>
      <c r="Z158" s="845"/>
      <c r="AA158" s="868"/>
      <c r="AB158" s="869" t="s">
        <v>749</v>
      </c>
      <c r="AC158" s="869">
        <v>0</v>
      </c>
      <c r="AD158" s="870"/>
      <c r="AE158" s="902">
        <v>0</v>
      </c>
      <c r="AF158" s="870"/>
      <c r="AG158" s="902">
        <f t="shared" si="31"/>
        <v>0</v>
      </c>
      <c r="AH158" s="997"/>
    </row>
    <row r="159" spans="1:34" ht="21.9" customHeight="1" x14ac:dyDescent="0.4">
      <c r="A159" s="942"/>
      <c r="B159" s="942"/>
      <c r="C159" s="942"/>
      <c r="D159" s="942"/>
      <c r="E159" s="942"/>
      <c r="F159" s="942"/>
      <c r="G159" s="942"/>
      <c r="H159" s="942"/>
      <c r="I159" s="942"/>
      <c r="J159" s="942"/>
      <c r="L159" s="877">
        <v>2.4</v>
      </c>
      <c r="M159" s="878" t="s">
        <v>463</v>
      </c>
      <c r="N159" s="879"/>
      <c r="O159" s="879"/>
      <c r="P159" s="880"/>
      <c r="Q159" s="877" t="s">
        <v>747</v>
      </c>
      <c r="R159" s="877">
        <v>1</v>
      </c>
      <c r="S159" s="878"/>
      <c r="T159" s="881">
        <v>5.0500000000000003E-2</v>
      </c>
      <c r="U159" s="878"/>
      <c r="V159" s="882">
        <f t="shared" si="30"/>
        <v>891.17647058823525</v>
      </c>
      <c r="W159" s="869">
        <v>1.9</v>
      </c>
      <c r="X159" s="870" t="s">
        <v>464</v>
      </c>
      <c r="Y159" s="883"/>
      <c r="Z159" s="883"/>
      <c r="AA159" s="884"/>
      <c r="AB159" s="869" t="s">
        <v>749</v>
      </c>
      <c r="AC159" s="869">
        <v>0</v>
      </c>
      <c r="AD159" s="870"/>
      <c r="AE159" s="902">
        <v>0</v>
      </c>
      <c r="AF159" s="870"/>
      <c r="AG159" s="902">
        <f t="shared" si="31"/>
        <v>0</v>
      </c>
      <c r="AH159" s="997"/>
    </row>
    <row r="160" spans="1:34" ht="21.9" customHeight="1" x14ac:dyDescent="0.4">
      <c r="A160" s="942"/>
      <c r="B160" s="942"/>
      <c r="C160" s="942"/>
      <c r="D160" s="942"/>
      <c r="E160" s="942"/>
      <c r="F160" s="942"/>
      <c r="G160" s="942"/>
      <c r="H160" s="942"/>
      <c r="I160" s="942"/>
      <c r="J160" s="942"/>
      <c r="L160" s="877" t="s">
        <v>741</v>
      </c>
      <c r="M160" s="878" t="s">
        <v>741</v>
      </c>
      <c r="N160" s="879"/>
      <c r="O160" s="879"/>
      <c r="P160" s="880"/>
      <c r="Q160" s="877" t="s">
        <v>741</v>
      </c>
      <c r="R160" s="877" t="s">
        <v>741</v>
      </c>
      <c r="S160" s="878"/>
      <c r="T160" s="882">
        <v>0</v>
      </c>
      <c r="U160" s="878" t="s">
        <v>741</v>
      </c>
      <c r="V160" s="882">
        <f t="shared" si="30"/>
        <v>0</v>
      </c>
      <c r="W160" s="869" t="s">
        <v>741</v>
      </c>
      <c r="X160" s="870" t="s">
        <v>741</v>
      </c>
      <c r="Y160" s="883"/>
      <c r="Z160" s="883"/>
      <c r="AA160" s="884"/>
      <c r="AB160" s="869" t="s">
        <v>741</v>
      </c>
      <c r="AC160" s="869" t="s">
        <v>741</v>
      </c>
      <c r="AD160" s="870"/>
      <c r="AE160" s="871" t="s">
        <v>741</v>
      </c>
      <c r="AF160" s="870"/>
      <c r="AG160" s="902" t="s">
        <v>741</v>
      </c>
      <c r="AH160" s="997"/>
    </row>
    <row r="161" spans="1:34" ht="21.9" customHeight="1" x14ac:dyDescent="0.4">
      <c r="A161" s="942"/>
      <c r="B161" s="942"/>
      <c r="C161" s="942"/>
      <c r="D161" s="942"/>
      <c r="E161" s="942"/>
      <c r="F161" s="942"/>
      <c r="G161" s="942"/>
      <c r="H161" s="942"/>
      <c r="I161" s="942"/>
      <c r="J161" s="942"/>
      <c r="L161" s="877" t="s">
        <v>741</v>
      </c>
      <c r="M161" s="878" t="s">
        <v>741</v>
      </c>
      <c r="N161" s="879"/>
      <c r="O161" s="879"/>
      <c r="P161" s="880"/>
      <c r="Q161" s="877" t="s">
        <v>741</v>
      </c>
      <c r="R161" s="877" t="s">
        <v>741</v>
      </c>
      <c r="S161" s="878"/>
      <c r="T161" s="882">
        <v>0</v>
      </c>
      <c r="U161" s="878" t="s">
        <v>741</v>
      </c>
      <c r="V161" s="882">
        <f t="shared" si="30"/>
        <v>0</v>
      </c>
      <c r="W161" s="869" t="s">
        <v>741</v>
      </c>
      <c r="X161" s="870" t="s">
        <v>741</v>
      </c>
      <c r="Y161" s="883"/>
      <c r="Z161" s="883"/>
      <c r="AA161" s="884"/>
      <c r="AB161" s="869" t="s">
        <v>741</v>
      </c>
      <c r="AC161" s="869" t="s">
        <v>741</v>
      </c>
      <c r="AD161" s="870"/>
      <c r="AE161" s="871" t="s">
        <v>741</v>
      </c>
      <c r="AF161" s="870"/>
      <c r="AG161" s="902" t="s">
        <v>741</v>
      </c>
      <c r="AH161" s="997"/>
    </row>
    <row r="162" spans="1:34" ht="21.9" customHeight="1" x14ac:dyDescent="0.4">
      <c r="A162" s="942"/>
      <c r="B162" s="942"/>
      <c r="C162" s="942"/>
      <c r="D162" s="942"/>
      <c r="E162" s="942"/>
      <c r="F162" s="942"/>
      <c r="G162" s="942"/>
      <c r="H162" s="942"/>
      <c r="I162" s="942"/>
      <c r="J162" s="942"/>
      <c r="L162" s="903" t="s">
        <v>260</v>
      </c>
      <c r="M162" s="904"/>
      <c r="N162" s="904"/>
      <c r="O162" s="904"/>
      <c r="P162" s="904"/>
      <c r="Q162" s="904"/>
      <c r="R162" s="904"/>
      <c r="S162" s="904"/>
      <c r="T162" s="905"/>
      <c r="U162" s="906"/>
      <c r="V162" s="907">
        <f>SUM(V151:V161)</f>
        <v>45321.176470588238</v>
      </c>
      <c r="W162" s="908" t="s">
        <v>260</v>
      </c>
      <c r="X162" s="909"/>
      <c r="Y162" s="909"/>
      <c r="Z162" s="909"/>
      <c r="AA162" s="909"/>
      <c r="AB162" s="909"/>
      <c r="AC162" s="909"/>
      <c r="AD162" s="909"/>
      <c r="AE162" s="910"/>
      <c r="AF162" s="911"/>
      <c r="AG162" s="912">
        <f>SUM(AG151:AG161)</f>
        <v>65000</v>
      </c>
      <c r="AH162" s="997"/>
    </row>
    <row r="163" spans="1:34" ht="21.9" customHeight="1" x14ac:dyDescent="0.4">
      <c r="A163" s="942"/>
      <c r="B163" s="942"/>
      <c r="C163" s="942"/>
      <c r="D163" s="942"/>
      <c r="E163" s="942"/>
      <c r="F163" s="942"/>
      <c r="G163" s="942"/>
      <c r="H163" s="942"/>
      <c r="I163" s="942"/>
      <c r="J163" s="942"/>
      <c r="L163" s="831"/>
      <c r="M163" s="831"/>
      <c r="N163" s="831"/>
      <c r="O163" s="831"/>
      <c r="P163" s="831"/>
      <c r="Q163" s="831"/>
      <c r="R163" s="831"/>
      <c r="S163" s="831"/>
      <c r="T163" s="831"/>
      <c r="U163" s="831"/>
      <c r="V163" s="831"/>
      <c r="W163" s="984" t="s">
        <v>741</v>
      </c>
      <c r="X163" s="862" t="s">
        <v>741</v>
      </c>
      <c r="Y163" s="862"/>
      <c r="Z163" s="862"/>
      <c r="AA163" s="862"/>
      <c r="AB163" s="984" t="s">
        <v>741</v>
      </c>
      <c r="AC163" s="984" t="s">
        <v>741</v>
      </c>
      <c r="AD163" s="862"/>
      <c r="AE163" s="985" t="s">
        <v>741</v>
      </c>
      <c r="AF163" s="862"/>
      <c r="AG163" s="985" t="s">
        <v>741</v>
      </c>
      <c r="AH163" s="997"/>
    </row>
    <row r="164" spans="1:34" ht="21.9" customHeight="1" x14ac:dyDescent="0.4">
      <c r="A164" s="942"/>
      <c r="B164" s="942"/>
      <c r="C164" s="942"/>
      <c r="D164" s="942"/>
      <c r="E164" s="942"/>
      <c r="F164" s="942"/>
      <c r="G164" s="942"/>
      <c r="H164" s="942"/>
      <c r="I164" s="942"/>
      <c r="J164" s="942"/>
      <c r="L164" s="831"/>
      <c r="M164" s="837" t="s">
        <v>231</v>
      </c>
      <c r="N164" s="837"/>
      <c r="O164" s="837"/>
      <c r="P164" s="837">
        <v>40</v>
      </c>
      <c r="Q164" s="837" t="s">
        <v>660</v>
      </c>
      <c r="R164" s="831"/>
      <c r="S164" s="838" t="s">
        <v>518</v>
      </c>
      <c r="T164" s="837">
        <f>E19</f>
        <v>17</v>
      </c>
      <c r="U164" s="839" t="s">
        <v>519</v>
      </c>
      <c r="V164" s="831"/>
      <c r="W164" s="883"/>
      <c r="X164" s="837" t="s">
        <v>232</v>
      </c>
      <c r="Y164" s="837"/>
      <c r="Z164" s="837"/>
      <c r="AA164" s="837">
        <v>40</v>
      </c>
      <c r="AB164" s="837" t="s">
        <v>660</v>
      </c>
      <c r="AC164" s="831"/>
      <c r="AD164" s="838" t="s">
        <v>518</v>
      </c>
      <c r="AE164" s="837">
        <f>E19</f>
        <v>17</v>
      </c>
      <c r="AF164" s="839" t="s">
        <v>519</v>
      </c>
      <c r="AG164" s="831"/>
      <c r="AH164" s="997"/>
    </row>
    <row r="165" spans="1:34" ht="21.9" customHeight="1" x14ac:dyDescent="0.4">
      <c r="A165" s="942"/>
      <c r="B165" s="942"/>
      <c r="C165" s="942"/>
      <c r="D165" s="942"/>
      <c r="E165" s="942"/>
      <c r="F165" s="942"/>
      <c r="G165" s="942"/>
      <c r="H165" s="942"/>
      <c r="I165" s="942"/>
      <c r="J165" s="942"/>
      <c r="L165" s="847" t="s">
        <v>522</v>
      </c>
      <c r="M165" s="848" t="s">
        <v>523</v>
      </c>
      <c r="N165" s="849"/>
      <c r="O165" s="849"/>
      <c r="P165" s="850"/>
      <c r="Q165" s="847" t="s">
        <v>524</v>
      </c>
      <c r="R165" s="847" t="s">
        <v>525</v>
      </c>
      <c r="S165" s="851" t="s">
        <v>526</v>
      </c>
      <c r="T165" s="852"/>
      <c r="U165" s="851" t="s">
        <v>527</v>
      </c>
      <c r="V165" s="852"/>
      <c r="W165" s="847" t="s">
        <v>522</v>
      </c>
      <c r="X165" s="848" t="s">
        <v>523</v>
      </c>
      <c r="Y165" s="849"/>
      <c r="Z165" s="849"/>
      <c r="AA165" s="850"/>
      <c r="AB165" s="847" t="s">
        <v>524</v>
      </c>
      <c r="AC165" s="847" t="s">
        <v>525</v>
      </c>
      <c r="AD165" s="851" t="s">
        <v>528</v>
      </c>
      <c r="AE165" s="852"/>
      <c r="AF165" s="851" t="s">
        <v>529</v>
      </c>
      <c r="AG165" s="852"/>
      <c r="AH165" s="997"/>
    </row>
    <row r="166" spans="1:34" ht="21.9" customHeight="1" x14ac:dyDescent="0.4">
      <c r="A166" s="942"/>
      <c r="B166" s="942"/>
      <c r="C166" s="942"/>
      <c r="D166" s="942"/>
      <c r="E166" s="942"/>
      <c r="F166" s="942"/>
      <c r="G166" s="942"/>
      <c r="H166" s="942"/>
      <c r="I166" s="942"/>
      <c r="J166" s="942"/>
      <c r="L166" s="854"/>
      <c r="M166" s="855"/>
      <c r="N166" s="856"/>
      <c r="O166" s="856"/>
      <c r="P166" s="857"/>
      <c r="Q166" s="854"/>
      <c r="R166" s="854"/>
      <c r="S166" s="858" t="s">
        <v>533</v>
      </c>
      <c r="T166" s="859"/>
      <c r="U166" s="858" t="s">
        <v>732</v>
      </c>
      <c r="V166" s="859"/>
      <c r="W166" s="854"/>
      <c r="X166" s="855"/>
      <c r="Y166" s="856"/>
      <c r="Z166" s="856"/>
      <c r="AA166" s="857"/>
      <c r="AB166" s="854"/>
      <c r="AC166" s="854"/>
      <c r="AD166" s="858" t="s">
        <v>733</v>
      </c>
      <c r="AE166" s="859"/>
      <c r="AF166" s="858" t="s">
        <v>732</v>
      </c>
      <c r="AG166" s="859"/>
      <c r="AH166" s="997"/>
    </row>
    <row r="167" spans="1:34" ht="21.9" customHeight="1" x14ac:dyDescent="0.4">
      <c r="A167" s="942"/>
      <c r="B167" s="942"/>
      <c r="C167" s="942"/>
      <c r="D167" s="942"/>
      <c r="E167" s="942"/>
      <c r="F167" s="942"/>
      <c r="G167" s="942"/>
      <c r="H167" s="942"/>
      <c r="I167" s="942"/>
      <c r="J167" s="942"/>
      <c r="L167" s="860">
        <v>1</v>
      </c>
      <c r="M167" s="861" t="s">
        <v>739</v>
      </c>
      <c r="N167" s="862"/>
      <c r="O167" s="862"/>
      <c r="P167" s="863"/>
      <c r="Q167" s="864"/>
      <c r="R167" s="864"/>
      <c r="S167" s="865"/>
      <c r="T167" s="863"/>
      <c r="U167" s="865"/>
      <c r="V167" s="863"/>
      <c r="W167" s="866">
        <v>1</v>
      </c>
      <c r="X167" s="867" t="s">
        <v>740</v>
      </c>
      <c r="Y167" s="845"/>
      <c r="Z167" s="845"/>
      <c r="AA167" s="868"/>
      <c r="AB167" s="869"/>
      <c r="AC167" s="869"/>
      <c r="AD167" s="870"/>
      <c r="AE167" s="871"/>
      <c r="AF167" s="870"/>
      <c r="AG167" s="872" t="s">
        <v>741</v>
      </c>
      <c r="AH167" s="997"/>
    </row>
    <row r="168" spans="1:34" ht="21.9" customHeight="1" x14ac:dyDescent="0.4">
      <c r="A168" s="942"/>
      <c r="B168" s="942"/>
      <c r="C168" s="942"/>
      <c r="D168" s="942"/>
      <c r="E168" s="942"/>
      <c r="F168" s="942"/>
      <c r="G168" s="942"/>
      <c r="H168" s="942"/>
      <c r="I168" s="942"/>
      <c r="J168" s="942"/>
      <c r="L168" s="877">
        <v>1.1000000000000001</v>
      </c>
      <c r="M168" s="878" t="s">
        <v>1437</v>
      </c>
      <c r="N168" s="879"/>
      <c r="O168" s="879"/>
      <c r="P168" s="880"/>
      <c r="Q168" s="877" t="s">
        <v>747</v>
      </c>
      <c r="R168" s="877">
        <v>1</v>
      </c>
      <c r="S168" s="878"/>
      <c r="T168" s="881">
        <v>5.0700000000000002E-2</v>
      </c>
      <c r="U168" s="878"/>
      <c r="V168" s="882">
        <f t="shared" ref="V168:V178" si="32">((($P$164*1000000)*T168)/100)/$T$164</f>
        <v>1192.9411764705883</v>
      </c>
      <c r="W168" s="869">
        <v>1.1000000000000001</v>
      </c>
      <c r="X168" s="870" t="s">
        <v>748</v>
      </c>
      <c r="Y168" s="883"/>
      <c r="Z168" s="883"/>
      <c r="AA168" s="884"/>
      <c r="AB168" s="869" t="s">
        <v>749</v>
      </c>
      <c r="AC168" s="869">
        <v>1</v>
      </c>
      <c r="AD168" s="870"/>
      <c r="AE168" s="957">
        <v>30000</v>
      </c>
      <c r="AF168" s="870"/>
      <c r="AG168" s="902">
        <f t="shared" ref="AG168:AG176" si="33">(AC168*AE168)</f>
        <v>30000</v>
      </c>
      <c r="AH168" s="997"/>
    </row>
    <row r="169" spans="1:34" ht="21.9" customHeight="1" x14ac:dyDescent="0.4">
      <c r="A169" s="942"/>
      <c r="B169" s="942"/>
      <c r="C169" s="942"/>
      <c r="D169" s="942"/>
      <c r="E169" s="942"/>
      <c r="F169" s="942"/>
      <c r="G169" s="942"/>
      <c r="H169" s="942"/>
      <c r="I169" s="942"/>
      <c r="J169" s="942"/>
      <c r="L169" s="877">
        <v>1.2</v>
      </c>
      <c r="M169" s="878" t="s">
        <v>752</v>
      </c>
      <c r="N169" s="879"/>
      <c r="O169" s="879"/>
      <c r="P169" s="880"/>
      <c r="Q169" s="877" t="s">
        <v>747</v>
      </c>
      <c r="R169" s="877">
        <v>1</v>
      </c>
      <c r="S169" s="878"/>
      <c r="T169" s="881">
        <v>0.85729999999999995</v>
      </c>
      <c r="U169" s="878"/>
      <c r="V169" s="882">
        <f t="shared" si="32"/>
        <v>20171.764705882353</v>
      </c>
      <c r="W169" s="869">
        <v>1.2</v>
      </c>
      <c r="X169" s="870" t="s">
        <v>753</v>
      </c>
      <c r="Y169" s="883"/>
      <c r="Z169" s="883"/>
      <c r="AA169" s="884"/>
      <c r="AB169" s="869" t="s">
        <v>749</v>
      </c>
      <c r="AC169" s="869">
        <v>0</v>
      </c>
      <c r="AD169" s="870"/>
      <c r="AE169" s="902">
        <v>0</v>
      </c>
      <c r="AF169" s="870"/>
      <c r="AG169" s="902">
        <f t="shared" si="33"/>
        <v>0</v>
      </c>
      <c r="AH169" s="997"/>
    </row>
    <row r="170" spans="1:34" ht="21.9" customHeight="1" x14ac:dyDescent="0.4">
      <c r="A170" s="942"/>
      <c r="B170" s="942"/>
      <c r="C170" s="942"/>
      <c r="D170" s="942"/>
      <c r="E170" s="942"/>
      <c r="F170" s="942"/>
      <c r="G170" s="942"/>
      <c r="H170" s="942"/>
      <c r="I170" s="942"/>
      <c r="J170" s="942"/>
      <c r="L170" s="877">
        <v>1.3</v>
      </c>
      <c r="M170" s="878" t="s">
        <v>754</v>
      </c>
      <c r="N170" s="879"/>
      <c r="O170" s="879"/>
      <c r="P170" s="880"/>
      <c r="Q170" s="877" t="s">
        <v>747</v>
      </c>
      <c r="R170" s="898">
        <v>1</v>
      </c>
      <c r="S170" s="878"/>
      <c r="T170" s="881">
        <v>0.01</v>
      </c>
      <c r="U170" s="878"/>
      <c r="V170" s="882">
        <f t="shared" si="32"/>
        <v>235.29411764705881</v>
      </c>
      <c r="W170" s="869">
        <v>1.3</v>
      </c>
      <c r="X170" s="870" t="s">
        <v>755</v>
      </c>
      <c r="Y170" s="883"/>
      <c r="Z170" s="883"/>
      <c r="AA170" s="884"/>
      <c r="AB170" s="869" t="s">
        <v>749</v>
      </c>
      <c r="AC170" s="869">
        <v>1</v>
      </c>
      <c r="AD170" s="870"/>
      <c r="AE170" s="902">
        <v>15000</v>
      </c>
      <c r="AF170" s="870"/>
      <c r="AG170" s="902">
        <f t="shared" si="33"/>
        <v>15000</v>
      </c>
      <c r="AH170" s="997"/>
    </row>
    <row r="171" spans="1:34" ht="21.9" customHeight="1" x14ac:dyDescent="0.4">
      <c r="A171" s="942"/>
      <c r="B171" s="942"/>
      <c r="C171" s="942"/>
      <c r="D171" s="942"/>
      <c r="E171" s="942"/>
      <c r="F171" s="942"/>
      <c r="G171" s="942"/>
      <c r="H171" s="942"/>
      <c r="I171" s="942"/>
      <c r="J171" s="942"/>
      <c r="L171" s="877">
        <v>1.4</v>
      </c>
      <c r="M171" s="878" t="s">
        <v>453</v>
      </c>
      <c r="N171" s="879"/>
      <c r="O171" s="879"/>
      <c r="P171" s="880"/>
      <c r="Q171" s="877" t="s">
        <v>747</v>
      </c>
      <c r="R171" s="877">
        <v>1</v>
      </c>
      <c r="S171" s="878"/>
      <c r="T171" s="881">
        <v>9.3899999999999997E-2</v>
      </c>
      <c r="U171" s="878"/>
      <c r="V171" s="882">
        <f t="shared" si="32"/>
        <v>2209.4117647058824</v>
      </c>
      <c r="W171" s="869">
        <v>1.4</v>
      </c>
      <c r="X171" s="870" t="s">
        <v>454</v>
      </c>
      <c r="Y171" s="883"/>
      <c r="Z171" s="883"/>
      <c r="AA171" s="884"/>
      <c r="AB171" s="869" t="s">
        <v>749</v>
      </c>
      <c r="AC171" s="869">
        <v>0</v>
      </c>
      <c r="AD171" s="870"/>
      <c r="AE171" s="902">
        <v>0</v>
      </c>
      <c r="AF171" s="870"/>
      <c r="AG171" s="902">
        <f t="shared" si="33"/>
        <v>0</v>
      </c>
      <c r="AH171" s="997"/>
    </row>
    <row r="172" spans="1:34" ht="21.9" customHeight="1" x14ac:dyDescent="0.4">
      <c r="A172" s="942"/>
      <c r="B172" s="942"/>
      <c r="C172" s="942"/>
      <c r="D172" s="942"/>
      <c r="E172" s="942"/>
      <c r="F172" s="942"/>
      <c r="G172" s="942"/>
      <c r="H172" s="942"/>
      <c r="I172" s="942"/>
      <c r="J172" s="942"/>
      <c r="L172" s="900">
        <v>2</v>
      </c>
      <c r="M172" s="901" t="s">
        <v>455</v>
      </c>
      <c r="N172" s="879"/>
      <c r="O172" s="879"/>
      <c r="P172" s="880"/>
      <c r="Q172" s="877"/>
      <c r="R172" s="877"/>
      <c r="S172" s="878"/>
      <c r="T172" s="882">
        <v>0</v>
      </c>
      <c r="U172" s="878"/>
      <c r="V172" s="882">
        <f t="shared" si="32"/>
        <v>0</v>
      </c>
      <c r="W172" s="869">
        <v>1.5</v>
      </c>
      <c r="X172" s="870" t="s">
        <v>456</v>
      </c>
      <c r="Y172" s="883"/>
      <c r="Z172" s="883"/>
      <c r="AA172" s="884"/>
      <c r="AB172" s="869" t="s">
        <v>749</v>
      </c>
      <c r="AC172" s="869">
        <v>1</v>
      </c>
      <c r="AD172" s="870"/>
      <c r="AE172" s="902">
        <v>8000</v>
      </c>
      <c r="AF172" s="870"/>
      <c r="AG172" s="902">
        <f t="shared" si="33"/>
        <v>8000</v>
      </c>
      <c r="AH172" s="997"/>
    </row>
    <row r="173" spans="1:34" ht="21.9" customHeight="1" x14ac:dyDescent="0.4">
      <c r="A173" s="942"/>
      <c r="B173" s="942"/>
      <c r="C173" s="942"/>
      <c r="D173" s="942"/>
      <c r="E173" s="942"/>
      <c r="F173" s="942"/>
      <c r="G173" s="942"/>
      <c r="H173" s="942"/>
      <c r="I173" s="942"/>
      <c r="J173" s="942"/>
      <c r="L173" s="877">
        <v>2.1</v>
      </c>
      <c r="M173" s="878" t="s">
        <v>457</v>
      </c>
      <c r="N173" s="879"/>
      <c r="O173" s="879"/>
      <c r="P173" s="880"/>
      <c r="Q173" s="877" t="s">
        <v>747</v>
      </c>
      <c r="R173" s="877">
        <v>1</v>
      </c>
      <c r="S173" s="878"/>
      <c r="T173" s="881">
        <v>0.48089999999999999</v>
      </c>
      <c r="U173" s="878"/>
      <c r="V173" s="882">
        <f t="shared" si="32"/>
        <v>11315.294117647059</v>
      </c>
      <c r="W173" s="869">
        <v>1.6</v>
      </c>
      <c r="X173" s="870" t="s">
        <v>458</v>
      </c>
      <c r="Y173" s="883"/>
      <c r="Z173" s="883"/>
      <c r="AA173" s="884"/>
      <c r="AB173" s="869" t="s">
        <v>749</v>
      </c>
      <c r="AC173" s="869">
        <v>1</v>
      </c>
      <c r="AD173" s="870"/>
      <c r="AE173" s="902">
        <v>6000</v>
      </c>
      <c r="AF173" s="870"/>
      <c r="AG173" s="902">
        <f t="shared" si="33"/>
        <v>6000</v>
      </c>
      <c r="AH173" s="997"/>
    </row>
    <row r="174" spans="1:34" ht="21.9" customHeight="1" x14ac:dyDescent="0.4">
      <c r="A174" s="942"/>
      <c r="B174" s="942"/>
      <c r="C174" s="942"/>
      <c r="D174" s="942"/>
      <c r="E174" s="942"/>
      <c r="F174" s="942"/>
      <c r="G174" s="942"/>
      <c r="H174" s="942"/>
      <c r="I174" s="942"/>
      <c r="J174" s="942"/>
      <c r="L174" s="877">
        <v>2.2000000000000002</v>
      </c>
      <c r="M174" s="878" t="s">
        <v>459</v>
      </c>
      <c r="N174" s="879"/>
      <c r="O174" s="879"/>
      <c r="P174" s="880"/>
      <c r="Q174" s="877" t="s">
        <v>747</v>
      </c>
      <c r="R174" s="877">
        <v>1</v>
      </c>
      <c r="S174" s="878"/>
      <c r="T174" s="881">
        <v>0.77649999999999997</v>
      </c>
      <c r="U174" s="878"/>
      <c r="V174" s="882">
        <f t="shared" si="32"/>
        <v>18270.588235294119</v>
      </c>
      <c r="W174" s="869">
        <v>1.7</v>
      </c>
      <c r="X174" s="870" t="s">
        <v>460</v>
      </c>
      <c r="Y174" s="883"/>
      <c r="Z174" s="883"/>
      <c r="AA174" s="884"/>
      <c r="AB174" s="869" t="s">
        <v>749</v>
      </c>
      <c r="AC174" s="869">
        <v>1</v>
      </c>
      <c r="AD174" s="870"/>
      <c r="AE174" s="902">
        <v>6000</v>
      </c>
      <c r="AF174" s="870"/>
      <c r="AG174" s="902">
        <f t="shared" si="33"/>
        <v>6000</v>
      </c>
      <c r="AH174" s="997"/>
    </row>
    <row r="175" spans="1:34" ht="21.9" customHeight="1" x14ac:dyDescent="0.4">
      <c r="A175" s="942"/>
      <c r="B175" s="942"/>
      <c r="C175" s="942"/>
      <c r="D175" s="942"/>
      <c r="E175" s="942"/>
      <c r="F175" s="942"/>
      <c r="G175" s="942"/>
      <c r="H175" s="942"/>
      <c r="I175" s="942"/>
      <c r="J175" s="942"/>
      <c r="L175" s="877">
        <v>2.2999999999999998</v>
      </c>
      <c r="M175" s="878" t="s">
        <v>461</v>
      </c>
      <c r="N175" s="879"/>
      <c r="O175" s="879"/>
      <c r="P175" s="880"/>
      <c r="Q175" s="877" t="s">
        <v>747</v>
      </c>
      <c r="R175" s="877">
        <v>1</v>
      </c>
      <c r="S175" s="878"/>
      <c r="T175" s="881">
        <v>2.4299999999999999E-2</v>
      </c>
      <c r="U175" s="878"/>
      <c r="V175" s="882">
        <f t="shared" si="32"/>
        <v>571.76470588235293</v>
      </c>
      <c r="W175" s="869">
        <v>1.8</v>
      </c>
      <c r="X175" s="870" t="s">
        <v>462</v>
      </c>
      <c r="Y175" s="845"/>
      <c r="Z175" s="845"/>
      <c r="AA175" s="868"/>
      <c r="AB175" s="869" t="s">
        <v>749</v>
      </c>
      <c r="AC175" s="869">
        <v>0</v>
      </c>
      <c r="AD175" s="870"/>
      <c r="AE175" s="902">
        <v>0</v>
      </c>
      <c r="AF175" s="870"/>
      <c r="AG175" s="902">
        <f t="shared" si="33"/>
        <v>0</v>
      </c>
      <c r="AH175" s="997"/>
    </row>
    <row r="176" spans="1:34" ht="21.9" customHeight="1" x14ac:dyDescent="0.4">
      <c r="A176" s="942"/>
      <c r="B176" s="942"/>
      <c r="C176" s="942"/>
      <c r="D176" s="942"/>
      <c r="E176" s="942"/>
      <c r="F176" s="942"/>
      <c r="G176" s="942"/>
      <c r="H176" s="942"/>
      <c r="I176" s="942"/>
      <c r="J176" s="942"/>
      <c r="L176" s="877">
        <v>2.4</v>
      </c>
      <c r="M176" s="878" t="s">
        <v>463</v>
      </c>
      <c r="N176" s="879"/>
      <c r="O176" s="879"/>
      <c r="P176" s="880"/>
      <c r="Q176" s="877" t="s">
        <v>747</v>
      </c>
      <c r="R176" s="877">
        <v>1</v>
      </c>
      <c r="S176" s="878"/>
      <c r="T176" s="881">
        <v>5.0500000000000003E-2</v>
      </c>
      <c r="U176" s="878"/>
      <c r="V176" s="882">
        <f t="shared" si="32"/>
        <v>1188.2352941176473</v>
      </c>
      <c r="W176" s="869">
        <v>1.9</v>
      </c>
      <c r="X176" s="870" t="s">
        <v>464</v>
      </c>
      <c r="Y176" s="883"/>
      <c r="Z176" s="883"/>
      <c r="AA176" s="884"/>
      <c r="AB176" s="869" t="s">
        <v>749</v>
      </c>
      <c r="AC176" s="869">
        <v>0</v>
      </c>
      <c r="AD176" s="870"/>
      <c r="AE176" s="902">
        <v>0</v>
      </c>
      <c r="AF176" s="870"/>
      <c r="AG176" s="902">
        <f t="shared" si="33"/>
        <v>0</v>
      </c>
      <c r="AH176" s="997"/>
    </row>
    <row r="177" spans="1:34" ht="21.9" customHeight="1" x14ac:dyDescent="0.4">
      <c r="A177" s="942"/>
      <c r="B177" s="942"/>
      <c r="C177" s="942"/>
      <c r="D177" s="942"/>
      <c r="E177" s="942"/>
      <c r="F177" s="942"/>
      <c r="G177" s="942"/>
      <c r="H177" s="942"/>
      <c r="I177" s="942"/>
      <c r="J177" s="942"/>
      <c r="L177" s="877" t="s">
        <v>741</v>
      </c>
      <c r="M177" s="878" t="s">
        <v>741</v>
      </c>
      <c r="N177" s="879"/>
      <c r="O177" s="879"/>
      <c r="P177" s="880"/>
      <c r="Q177" s="877" t="s">
        <v>741</v>
      </c>
      <c r="R177" s="877" t="s">
        <v>741</v>
      </c>
      <c r="S177" s="878"/>
      <c r="T177" s="882">
        <v>0</v>
      </c>
      <c r="U177" s="878" t="s">
        <v>741</v>
      </c>
      <c r="V177" s="882">
        <f t="shared" si="32"/>
        <v>0</v>
      </c>
      <c r="W177" s="869" t="s">
        <v>741</v>
      </c>
      <c r="X177" s="870" t="s">
        <v>741</v>
      </c>
      <c r="Y177" s="845"/>
      <c r="Z177" s="845"/>
      <c r="AA177" s="868"/>
      <c r="AB177" s="869" t="s">
        <v>741</v>
      </c>
      <c r="AC177" s="869" t="s">
        <v>741</v>
      </c>
      <c r="AD177" s="870"/>
      <c r="AE177" s="871" t="s">
        <v>741</v>
      </c>
      <c r="AF177" s="870"/>
      <c r="AG177" s="902" t="s">
        <v>741</v>
      </c>
      <c r="AH177" s="997"/>
    </row>
    <row r="178" spans="1:34" ht="21.9" customHeight="1" x14ac:dyDescent="0.4">
      <c r="A178" s="942"/>
      <c r="B178" s="942"/>
      <c r="C178" s="942"/>
      <c r="D178" s="942"/>
      <c r="E178" s="942"/>
      <c r="F178" s="942"/>
      <c r="G178" s="942"/>
      <c r="H178" s="942"/>
      <c r="I178" s="942"/>
      <c r="J178" s="942"/>
      <c r="L178" s="877" t="s">
        <v>741</v>
      </c>
      <c r="M178" s="878" t="s">
        <v>741</v>
      </c>
      <c r="N178" s="879"/>
      <c r="O178" s="879"/>
      <c r="P178" s="880"/>
      <c r="Q178" s="877" t="s">
        <v>741</v>
      </c>
      <c r="R178" s="877" t="s">
        <v>741</v>
      </c>
      <c r="S178" s="878"/>
      <c r="T178" s="882">
        <v>0</v>
      </c>
      <c r="U178" s="878" t="s">
        <v>741</v>
      </c>
      <c r="V178" s="882">
        <f t="shared" si="32"/>
        <v>0</v>
      </c>
      <c r="W178" s="869" t="s">
        <v>741</v>
      </c>
      <c r="X178" s="870" t="s">
        <v>741</v>
      </c>
      <c r="Y178" s="883"/>
      <c r="Z178" s="883"/>
      <c r="AA178" s="884"/>
      <c r="AB178" s="869" t="s">
        <v>741</v>
      </c>
      <c r="AC178" s="869" t="s">
        <v>741</v>
      </c>
      <c r="AD178" s="870"/>
      <c r="AE178" s="871" t="s">
        <v>741</v>
      </c>
      <c r="AF178" s="870"/>
      <c r="AG178" s="902" t="s">
        <v>741</v>
      </c>
      <c r="AH178" s="997"/>
    </row>
    <row r="179" spans="1:34" ht="21.9" customHeight="1" x14ac:dyDescent="0.4">
      <c r="A179" s="942"/>
      <c r="B179" s="942"/>
      <c r="C179" s="942"/>
      <c r="D179" s="942"/>
      <c r="E179" s="942"/>
      <c r="F179" s="942"/>
      <c r="G179" s="942"/>
      <c r="H179" s="942"/>
      <c r="I179" s="942"/>
      <c r="J179" s="942"/>
      <c r="L179" s="903" t="s">
        <v>260</v>
      </c>
      <c r="M179" s="904"/>
      <c r="N179" s="904"/>
      <c r="O179" s="904"/>
      <c r="P179" s="904"/>
      <c r="Q179" s="904"/>
      <c r="R179" s="904"/>
      <c r="S179" s="904"/>
      <c r="T179" s="905"/>
      <c r="U179" s="906"/>
      <c r="V179" s="907">
        <f>SUM(V167:V178)</f>
        <v>55155.294117647056</v>
      </c>
      <c r="W179" s="908" t="s">
        <v>260</v>
      </c>
      <c r="X179" s="909"/>
      <c r="Y179" s="909"/>
      <c r="Z179" s="909"/>
      <c r="AA179" s="909"/>
      <c r="AB179" s="909"/>
      <c r="AC179" s="909"/>
      <c r="AD179" s="909"/>
      <c r="AE179" s="910"/>
      <c r="AF179" s="911"/>
      <c r="AG179" s="912">
        <f>SUM(AG168:AG178)</f>
        <v>65000</v>
      </c>
      <c r="AH179" s="997"/>
    </row>
    <row r="180" spans="1:34" ht="21.9" customHeight="1" x14ac:dyDescent="0.4">
      <c r="A180" s="942"/>
      <c r="B180" s="942"/>
      <c r="C180" s="942"/>
      <c r="D180" s="942"/>
      <c r="E180" s="942"/>
      <c r="F180" s="942"/>
      <c r="G180" s="942"/>
      <c r="H180" s="942"/>
      <c r="I180" s="942"/>
      <c r="J180" s="942"/>
      <c r="L180" s="879"/>
      <c r="M180" s="879"/>
      <c r="N180" s="879"/>
      <c r="O180" s="879"/>
      <c r="P180" s="879"/>
      <c r="Q180" s="879"/>
      <c r="R180" s="879"/>
      <c r="S180" s="879"/>
      <c r="T180" s="879"/>
      <c r="U180" s="879"/>
      <c r="V180" s="879"/>
      <c r="AH180" s="997"/>
    </row>
    <row r="181" spans="1:34" ht="21.9" customHeight="1" x14ac:dyDescent="0.4">
      <c r="A181" s="942" t="s">
        <v>741</v>
      </c>
      <c r="B181" s="942"/>
      <c r="C181" s="942"/>
      <c r="D181" s="942"/>
      <c r="E181" s="942"/>
      <c r="F181" s="942"/>
      <c r="G181" s="942"/>
      <c r="H181" s="942"/>
      <c r="I181" s="942"/>
      <c r="J181" s="942"/>
      <c r="L181" s="930" t="s">
        <v>233</v>
      </c>
      <c r="M181" s="930"/>
      <c r="N181" s="930"/>
      <c r="O181" s="930"/>
      <c r="P181" s="930"/>
      <c r="Q181" s="930"/>
      <c r="R181" s="930"/>
      <c r="S181" s="930"/>
      <c r="T181" s="930"/>
      <c r="U181" s="930"/>
      <c r="V181" s="930"/>
      <c r="W181" s="828" t="s">
        <v>234</v>
      </c>
      <c r="X181" s="828"/>
      <c r="Y181" s="828"/>
      <c r="Z181" s="828"/>
      <c r="AA181" s="828"/>
      <c r="AB181" s="828"/>
      <c r="AC181" s="828"/>
      <c r="AD181" s="828"/>
      <c r="AE181" s="828"/>
      <c r="AF181" s="828"/>
      <c r="AG181" s="828"/>
      <c r="AH181" s="997"/>
    </row>
    <row r="182" spans="1:34" ht="21.9" customHeight="1" x14ac:dyDescent="0.4">
      <c r="A182" s="942" t="s">
        <v>741</v>
      </c>
      <c r="B182" s="942"/>
      <c r="C182" s="942"/>
      <c r="D182" s="942"/>
      <c r="E182" s="942"/>
      <c r="F182" s="942"/>
      <c r="G182" s="942"/>
      <c r="H182" s="942"/>
      <c r="I182" s="942"/>
      <c r="J182" s="942"/>
      <c r="L182" s="831"/>
      <c r="M182" s="831"/>
      <c r="N182" s="831"/>
      <c r="O182" s="831"/>
      <c r="P182" s="831"/>
      <c r="Q182" s="831"/>
      <c r="R182" s="831"/>
      <c r="S182" s="831"/>
      <c r="T182" s="831"/>
      <c r="U182" s="831"/>
      <c r="V182" s="831"/>
      <c r="AH182" s="997"/>
    </row>
    <row r="183" spans="1:34" ht="21.9" customHeight="1" x14ac:dyDescent="0.4">
      <c r="A183" s="942" t="s">
        <v>741</v>
      </c>
      <c r="B183" s="942"/>
      <c r="C183" s="942"/>
      <c r="D183" s="942"/>
      <c r="E183" s="942"/>
      <c r="F183" s="942"/>
      <c r="G183" s="942"/>
      <c r="H183" s="942"/>
      <c r="I183" s="942"/>
      <c r="J183" s="942"/>
      <c r="L183" s="831"/>
      <c r="M183" s="837" t="s">
        <v>235</v>
      </c>
      <c r="N183" s="837"/>
      <c r="O183" s="837"/>
      <c r="P183" s="837">
        <v>50</v>
      </c>
      <c r="Q183" s="837" t="s">
        <v>660</v>
      </c>
      <c r="R183" s="831"/>
      <c r="S183" s="838" t="s">
        <v>518</v>
      </c>
      <c r="T183" s="837">
        <f>E20</f>
        <v>18</v>
      </c>
      <c r="U183" s="839" t="s">
        <v>519</v>
      </c>
      <c r="V183" s="831"/>
      <c r="X183" s="840" t="s">
        <v>236</v>
      </c>
      <c r="Y183" s="840"/>
      <c r="Z183" s="840"/>
      <c r="AA183" s="840">
        <v>50</v>
      </c>
      <c r="AB183" s="840" t="s">
        <v>660</v>
      </c>
      <c r="AD183" s="838" t="s">
        <v>518</v>
      </c>
      <c r="AE183" s="837">
        <f>E20</f>
        <v>18</v>
      </c>
      <c r="AF183" s="839" t="s">
        <v>519</v>
      </c>
      <c r="AH183" s="997"/>
    </row>
    <row r="184" spans="1:34" ht="21.9" customHeight="1" x14ac:dyDescent="0.4">
      <c r="A184" s="942" t="s">
        <v>741</v>
      </c>
      <c r="B184" s="942"/>
      <c r="C184" s="942"/>
      <c r="D184" s="942"/>
      <c r="E184" s="942"/>
      <c r="F184" s="942"/>
      <c r="G184" s="942"/>
      <c r="H184" s="942"/>
      <c r="I184" s="942"/>
      <c r="J184" s="942"/>
      <c r="L184" s="847" t="s">
        <v>522</v>
      </c>
      <c r="M184" s="848" t="s">
        <v>523</v>
      </c>
      <c r="N184" s="849"/>
      <c r="O184" s="849"/>
      <c r="P184" s="850"/>
      <c r="Q184" s="847" t="s">
        <v>524</v>
      </c>
      <c r="R184" s="847" t="s">
        <v>525</v>
      </c>
      <c r="S184" s="851" t="s">
        <v>526</v>
      </c>
      <c r="T184" s="852"/>
      <c r="U184" s="851" t="s">
        <v>527</v>
      </c>
      <c r="V184" s="852"/>
      <c r="W184" s="847" t="s">
        <v>522</v>
      </c>
      <c r="X184" s="848" t="s">
        <v>523</v>
      </c>
      <c r="Y184" s="849"/>
      <c r="Z184" s="849"/>
      <c r="AA184" s="850"/>
      <c r="AB184" s="847" t="s">
        <v>524</v>
      </c>
      <c r="AC184" s="847" t="s">
        <v>525</v>
      </c>
      <c r="AD184" s="851" t="s">
        <v>528</v>
      </c>
      <c r="AE184" s="852"/>
      <c r="AF184" s="851" t="s">
        <v>529</v>
      </c>
      <c r="AG184" s="852"/>
      <c r="AH184" s="997"/>
    </row>
    <row r="185" spans="1:34" ht="21.9" customHeight="1" x14ac:dyDescent="0.4">
      <c r="A185" s="942" t="s">
        <v>741</v>
      </c>
      <c r="B185" s="942"/>
      <c r="C185" s="942"/>
      <c r="D185" s="942"/>
      <c r="E185" s="942"/>
      <c r="F185" s="942"/>
      <c r="G185" s="942"/>
      <c r="H185" s="942"/>
      <c r="I185" s="942"/>
      <c r="J185" s="942"/>
      <c r="L185" s="854"/>
      <c r="M185" s="855"/>
      <c r="N185" s="856"/>
      <c r="O185" s="856"/>
      <c r="P185" s="857"/>
      <c r="Q185" s="854"/>
      <c r="R185" s="854"/>
      <c r="S185" s="858" t="s">
        <v>533</v>
      </c>
      <c r="T185" s="859"/>
      <c r="U185" s="858" t="s">
        <v>732</v>
      </c>
      <c r="V185" s="859"/>
      <c r="W185" s="854"/>
      <c r="X185" s="855"/>
      <c r="Y185" s="856"/>
      <c r="Z185" s="856"/>
      <c r="AA185" s="857"/>
      <c r="AB185" s="854"/>
      <c r="AC185" s="854"/>
      <c r="AD185" s="858" t="s">
        <v>733</v>
      </c>
      <c r="AE185" s="859"/>
      <c r="AF185" s="858" t="s">
        <v>732</v>
      </c>
      <c r="AG185" s="859"/>
      <c r="AH185" s="997"/>
    </row>
    <row r="186" spans="1:34" ht="21.9" customHeight="1" x14ac:dyDescent="0.4">
      <c r="A186" s="942" t="s">
        <v>741</v>
      </c>
      <c r="B186" s="942"/>
      <c r="C186" s="942"/>
      <c r="D186" s="942"/>
      <c r="E186" s="942"/>
      <c r="F186" s="942"/>
      <c r="G186" s="942"/>
      <c r="H186" s="942"/>
      <c r="I186" s="942"/>
      <c r="J186" s="942"/>
      <c r="L186" s="860">
        <v>1</v>
      </c>
      <c r="M186" s="861" t="s">
        <v>739</v>
      </c>
      <c r="N186" s="862"/>
      <c r="O186" s="862"/>
      <c r="P186" s="863"/>
      <c r="Q186" s="864"/>
      <c r="R186" s="864"/>
      <c r="S186" s="865"/>
      <c r="T186" s="863"/>
      <c r="U186" s="865"/>
      <c r="V186" s="863"/>
      <c r="W186" s="866">
        <v>1</v>
      </c>
      <c r="X186" s="867" t="s">
        <v>740</v>
      </c>
      <c r="Y186" s="845"/>
      <c r="Z186" s="845"/>
      <c r="AA186" s="868"/>
      <c r="AB186" s="869"/>
      <c r="AC186" s="869"/>
      <c r="AD186" s="870"/>
      <c r="AE186" s="871"/>
      <c r="AF186" s="870"/>
      <c r="AG186" s="872" t="s">
        <v>741</v>
      </c>
      <c r="AH186" s="997"/>
    </row>
    <row r="187" spans="1:34" ht="21.9" customHeight="1" x14ac:dyDescent="0.4">
      <c r="A187" s="942" t="s">
        <v>741</v>
      </c>
      <c r="B187" s="942"/>
      <c r="C187" s="942"/>
      <c r="D187" s="942"/>
      <c r="E187" s="942"/>
      <c r="F187" s="942"/>
      <c r="G187" s="942"/>
      <c r="H187" s="942"/>
      <c r="I187" s="942"/>
      <c r="J187" s="942"/>
      <c r="L187" s="877">
        <v>1.1000000000000001</v>
      </c>
      <c r="M187" s="878" t="s">
        <v>1437</v>
      </c>
      <c r="N187" s="879"/>
      <c r="O187" s="879"/>
      <c r="P187" s="880"/>
      <c r="Q187" s="877" t="s">
        <v>747</v>
      </c>
      <c r="R187" s="877">
        <v>1</v>
      </c>
      <c r="S187" s="878"/>
      <c r="T187" s="881">
        <v>5.0700000000000002E-2</v>
      </c>
      <c r="U187" s="878"/>
      <c r="V187" s="882">
        <f t="shared" ref="V187:V197" si="34">((($P$183*1000000)*T187)/100)/$T$183</f>
        <v>1408.3333333333333</v>
      </c>
      <c r="W187" s="869">
        <v>1.1000000000000001</v>
      </c>
      <c r="X187" s="870" t="s">
        <v>748</v>
      </c>
      <c r="Y187" s="883"/>
      <c r="Z187" s="883"/>
      <c r="AA187" s="884"/>
      <c r="AB187" s="869" t="s">
        <v>749</v>
      </c>
      <c r="AC187" s="869">
        <v>1</v>
      </c>
      <c r="AD187" s="870"/>
      <c r="AE187" s="957">
        <v>30000</v>
      </c>
      <c r="AF187" s="870"/>
      <c r="AG187" s="902">
        <f t="shared" ref="AG187:AG195" si="35">(AC187*AE187)</f>
        <v>30000</v>
      </c>
      <c r="AH187" s="997"/>
    </row>
    <row r="188" spans="1:34" ht="21.9" customHeight="1" x14ac:dyDescent="0.4">
      <c r="A188" s="942" t="s">
        <v>741</v>
      </c>
      <c r="B188" s="942"/>
      <c r="C188" s="942"/>
      <c r="D188" s="942"/>
      <c r="E188" s="942"/>
      <c r="F188" s="942"/>
      <c r="G188" s="942"/>
      <c r="H188" s="942"/>
      <c r="I188" s="942"/>
      <c r="J188" s="942"/>
      <c r="L188" s="877">
        <v>1.2</v>
      </c>
      <c r="M188" s="878" t="s">
        <v>752</v>
      </c>
      <c r="N188" s="879"/>
      <c r="O188" s="879"/>
      <c r="P188" s="880"/>
      <c r="Q188" s="877" t="s">
        <v>747</v>
      </c>
      <c r="R188" s="877">
        <v>1</v>
      </c>
      <c r="S188" s="878"/>
      <c r="T188" s="881">
        <v>0.85729999999999995</v>
      </c>
      <c r="U188" s="878"/>
      <c r="V188" s="882">
        <f t="shared" si="34"/>
        <v>23813.888888888891</v>
      </c>
      <c r="W188" s="869">
        <v>1.2</v>
      </c>
      <c r="X188" s="870" t="s">
        <v>753</v>
      </c>
      <c r="Y188" s="883"/>
      <c r="Z188" s="883"/>
      <c r="AA188" s="884"/>
      <c r="AB188" s="869" t="s">
        <v>749</v>
      </c>
      <c r="AC188" s="869">
        <v>0</v>
      </c>
      <c r="AD188" s="870"/>
      <c r="AE188" s="902">
        <v>0</v>
      </c>
      <c r="AF188" s="870"/>
      <c r="AG188" s="902">
        <f t="shared" si="35"/>
        <v>0</v>
      </c>
      <c r="AH188" s="1001"/>
    </row>
    <row r="189" spans="1:34" ht="21.9" customHeight="1" x14ac:dyDescent="0.4">
      <c r="A189" s="942" t="s">
        <v>741</v>
      </c>
      <c r="B189" s="942"/>
      <c r="C189" s="942"/>
      <c r="D189" s="942"/>
      <c r="E189" s="942"/>
      <c r="F189" s="942"/>
      <c r="G189" s="942"/>
      <c r="H189" s="942"/>
      <c r="I189" s="942"/>
      <c r="J189" s="942"/>
      <c r="L189" s="877">
        <v>1.3</v>
      </c>
      <c r="M189" s="878" t="s">
        <v>754</v>
      </c>
      <c r="N189" s="879"/>
      <c r="O189" s="879"/>
      <c r="P189" s="880"/>
      <c r="Q189" s="877" t="s">
        <v>747</v>
      </c>
      <c r="R189" s="898">
        <v>1</v>
      </c>
      <c r="S189" s="878"/>
      <c r="T189" s="881">
        <v>0.01</v>
      </c>
      <c r="U189" s="878"/>
      <c r="V189" s="882">
        <f t="shared" si="34"/>
        <v>277.77777777777777</v>
      </c>
      <c r="W189" s="869">
        <v>1.3</v>
      </c>
      <c r="X189" s="870" t="s">
        <v>755</v>
      </c>
      <c r="Y189" s="883"/>
      <c r="Z189" s="883"/>
      <c r="AA189" s="884"/>
      <c r="AB189" s="869" t="s">
        <v>749</v>
      </c>
      <c r="AC189" s="869">
        <v>1</v>
      </c>
      <c r="AD189" s="870"/>
      <c r="AE189" s="902">
        <v>15000</v>
      </c>
      <c r="AF189" s="870"/>
      <c r="AG189" s="902">
        <f t="shared" si="35"/>
        <v>15000</v>
      </c>
    </row>
    <row r="190" spans="1:34" ht="21.9" customHeight="1" x14ac:dyDescent="0.4">
      <c r="A190" s="942" t="s">
        <v>741</v>
      </c>
      <c r="B190" s="942"/>
      <c r="C190" s="942"/>
      <c r="D190" s="942"/>
      <c r="E190" s="942"/>
      <c r="F190" s="942"/>
      <c r="G190" s="942"/>
      <c r="H190" s="942"/>
      <c r="I190" s="942"/>
      <c r="J190" s="942"/>
      <c r="L190" s="877">
        <v>1.4</v>
      </c>
      <c r="M190" s="878" t="s">
        <v>453</v>
      </c>
      <c r="N190" s="879"/>
      <c r="O190" s="879"/>
      <c r="P190" s="880"/>
      <c r="Q190" s="877" t="s">
        <v>747</v>
      </c>
      <c r="R190" s="877">
        <v>1</v>
      </c>
      <c r="S190" s="878"/>
      <c r="T190" s="881">
        <v>9.3899999999999997E-2</v>
      </c>
      <c r="U190" s="878"/>
      <c r="V190" s="882">
        <f t="shared" si="34"/>
        <v>2608.3333333333335</v>
      </c>
      <c r="W190" s="869">
        <v>1.4</v>
      </c>
      <c r="X190" s="870" t="s">
        <v>454</v>
      </c>
      <c r="Y190" s="883"/>
      <c r="Z190" s="883"/>
      <c r="AA190" s="884"/>
      <c r="AB190" s="869" t="s">
        <v>749</v>
      </c>
      <c r="AC190" s="869">
        <v>0</v>
      </c>
      <c r="AD190" s="870"/>
      <c r="AE190" s="902">
        <v>0</v>
      </c>
      <c r="AF190" s="870"/>
      <c r="AG190" s="902">
        <f t="shared" si="35"/>
        <v>0</v>
      </c>
      <c r="AH190" s="997"/>
    </row>
    <row r="191" spans="1:34" ht="21.9" customHeight="1" x14ac:dyDescent="0.4">
      <c r="A191" s="942" t="s">
        <v>741</v>
      </c>
      <c r="B191" s="942"/>
      <c r="C191" s="942"/>
      <c r="D191" s="942"/>
      <c r="E191" s="942"/>
      <c r="F191" s="942"/>
      <c r="G191" s="942"/>
      <c r="H191" s="942"/>
      <c r="I191" s="942"/>
      <c r="J191" s="942"/>
      <c r="L191" s="900">
        <v>2</v>
      </c>
      <c r="M191" s="901" t="s">
        <v>455</v>
      </c>
      <c r="N191" s="879"/>
      <c r="O191" s="879"/>
      <c r="P191" s="880"/>
      <c r="Q191" s="877"/>
      <c r="R191" s="877"/>
      <c r="S191" s="878"/>
      <c r="T191" s="882">
        <v>0</v>
      </c>
      <c r="U191" s="878"/>
      <c r="V191" s="882">
        <f t="shared" si="34"/>
        <v>0</v>
      </c>
      <c r="W191" s="869">
        <v>1.5</v>
      </c>
      <c r="X191" s="870" t="s">
        <v>456</v>
      </c>
      <c r="Y191" s="883"/>
      <c r="Z191" s="883"/>
      <c r="AA191" s="884"/>
      <c r="AB191" s="869" t="s">
        <v>749</v>
      </c>
      <c r="AC191" s="869">
        <v>1</v>
      </c>
      <c r="AD191" s="870"/>
      <c r="AE191" s="902">
        <v>8000</v>
      </c>
      <c r="AF191" s="870"/>
      <c r="AG191" s="902">
        <f t="shared" si="35"/>
        <v>8000</v>
      </c>
      <c r="AH191" s="997"/>
    </row>
    <row r="192" spans="1:34" ht="21.9" customHeight="1" x14ac:dyDescent="0.4">
      <c r="A192" s="942" t="s">
        <v>741</v>
      </c>
      <c r="B192" s="942"/>
      <c r="C192" s="942"/>
      <c r="D192" s="942"/>
      <c r="E192" s="942"/>
      <c r="F192" s="942"/>
      <c r="G192" s="942"/>
      <c r="H192" s="942"/>
      <c r="I192" s="942"/>
      <c r="J192" s="942"/>
      <c r="L192" s="877">
        <v>2.1</v>
      </c>
      <c r="M192" s="878" t="s">
        <v>457</v>
      </c>
      <c r="N192" s="879"/>
      <c r="O192" s="879"/>
      <c r="P192" s="880"/>
      <c r="Q192" s="877" t="s">
        <v>747</v>
      </c>
      <c r="R192" s="877">
        <v>1</v>
      </c>
      <c r="S192" s="878"/>
      <c r="T192" s="881">
        <v>0.47060000000000002</v>
      </c>
      <c r="U192" s="878"/>
      <c r="V192" s="882">
        <f t="shared" si="34"/>
        <v>13072.222222222223</v>
      </c>
      <c r="W192" s="869">
        <v>1.6</v>
      </c>
      <c r="X192" s="870" t="s">
        <v>458</v>
      </c>
      <c r="Y192" s="883"/>
      <c r="Z192" s="883"/>
      <c r="AA192" s="884"/>
      <c r="AB192" s="869" t="s">
        <v>749</v>
      </c>
      <c r="AC192" s="869">
        <v>1</v>
      </c>
      <c r="AD192" s="870"/>
      <c r="AE192" s="902">
        <v>6000</v>
      </c>
      <c r="AF192" s="870"/>
      <c r="AG192" s="902">
        <f t="shared" si="35"/>
        <v>6000</v>
      </c>
      <c r="AH192" s="997"/>
    </row>
    <row r="193" spans="1:34" ht="21.9" customHeight="1" x14ac:dyDescent="0.4">
      <c r="A193" s="942" t="s">
        <v>741</v>
      </c>
      <c r="B193" s="942"/>
      <c r="C193" s="942"/>
      <c r="D193" s="942"/>
      <c r="E193" s="942"/>
      <c r="F193" s="942"/>
      <c r="G193" s="942"/>
      <c r="H193" s="942"/>
      <c r="I193" s="942"/>
      <c r="J193" s="942"/>
      <c r="L193" s="877">
        <v>2.2000000000000002</v>
      </c>
      <c r="M193" s="878" t="s">
        <v>459</v>
      </c>
      <c r="N193" s="879"/>
      <c r="O193" s="879"/>
      <c r="P193" s="880"/>
      <c r="Q193" s="877" t="s">
        <v>747</v>
      </c>
      <c r="R193" s="877">
        <v>1</v>
      </c>
      <c r="S193" s="878"/>
      <c r="T193" s="881">
        <v>0.77649999999999997</v>
      </c>
      <c r="U193" s="878"/>
      <c r="V193" s="882">
        <f t="shared" si="34"/>
        <v>21569.444444444445</v>
      </c>
      <c r="W193" s="869">
        <v>1.7</v>
      </c>
      <c r="X193" s="870" t="s">
        <v>460</v>
      </c>
      <c r="Y193" s="883"/>
      <c r="Z193" s="883"/>
      <c r="AA193" s="884"/>
      <c r="AB193" s="869" t="s">
        <v>749</v>
      </c>
      <c r="AC193" s="869">
        <v>1</v>
      </c>
      <c r="AD193" s="870"/>
      <c r="AE193" s="902">
        <v>6000</v>
      </c>
      <c r="AF193" s="870"/>
      <c r="AG193" s="902">
        <f t="shared" si="35"/>
        <v>6000</v>
      </c>
      <c r="AH193" s="997"/>
    </row>
    <row r="194" spans="1:34" ht="21.9" customHeight="1" x14ac:dyDescent="0.4">
      <c r="A194" s="942" t="s">
        <v>741</v>
      </c>
      <c r="B194" s="942"/>
      <c r="C194" s="942"/>
      <c r="D194" s="942"/>
      <c r="E194" s="942"/>
      <c r="F194" s="942"/>
      <c r="G194" s="942"/>
      <c r="H194" s="942"/>
      <c r="I194" s="942"/>
      <c r="J194" s="942"/>
      <c r="L194" s="877">
        <v>2.2999999999999998</v>
      </c>
      <c r="M194" s="878" t="s">
        <v>461</v>
      </c>
      <c r="N194" s="879"/>
      <c r="O194" s="879"/>
      <c r="P194" s="880"/>
      <c r="Q194" s="877" t="s">
        <v>747</v>
      </c>
      <c r="R194" s="877">
        <v>1</v>
      </c>
      <c r="S194" s="878"/>
      <c r="T194" s="881">
        <v>2.4299999999999999E-2</v>
      </c>
      <c r="U194" s="878"/>
      <c r="V194" s="882">
        <f t="shared" si="34"/>
        <v>675</v>
      </c>
      <c r="W194" s="869">
        <v>1.8</v>
      </c>
      <c r="X194" s="870" t="s">
        <v>462</v>
      </c>
      <c r="Y194" s="845"/>
      <c r="Z194" s="845"/>
      <c r="AA194" s="868"/>
      <c r="AB194" s="869" t="s">
        <v>749</v>
      </c>
      <c r="AC194" s="869">
        <v>0</v>
      </c>
      <c r="AD194" s="870"/>
      <c r="AE194" s="902">
        <v>0</v>
      </c>
      <c r="AF194" s="870"/>
      <c r="AG194" s="902">
        <f t="shared" si="35"/>
        <v>0</v>
      </c>
      <c r="AH194" s="997"/>
    </row>
    <row r="195" spans="1:34" ht="21.9" customHeight="1" x14ac:dyDescent="0.4">
      <c r="A195" s="942" t="s">
        <v>741</v>
      </c>
      <c r="B195" s="942"/>
      <c r="C195" s="942"/>
      <c r="D195" s="942"/>
      <c r="E195" s="942"/>
      <c r="F195" s="942"/>
      <c r="G195" s="942"/>
      <c r="H195" s="942"/>
      <c r="I195" s="942"/>
      <c r="J195" s="942"/>
      <c r="L195" s="877">
        <v>2.4</v>
      </c>
      <c r="M195" s="878" t="s">
        <v>463</v>
      </c>
      <c r="N195" s="879"/>
      <c r="O195" s="879"/>
      <c r="P195" s="880"/>
      <c r="Q195" s="877" t="s">
        <v>747</v>
      </c>
      <c r="R195" s="877">
        <v>1</v>
      </c>
      <c r="S195" s="878"/>
      <c r="T195" s="881">
        <v>5.0500000000000003E-2</v>
      </c>
      <c r="U195" s="878"/>
      <c r="V195" s="882">
        <f t="shared" si="34"/>
        <v>1402.7777777777778</v>
      </c>
      <c r="W195" s="869">
        <v>1.9</v>
      </c>
      <c r="X195" s="870" t="s">
        <v>464</v>
      </c>
      <c r="Y195" s="883"/>
      <c r="Z195" s="883"/>
      <c r="AA195" s="884"/>
      <c r="AB195" s="869" t="s">
        <v>749</v>
      </c>
      <c r="AC195" s="869">
        <v>0</v>
      </c>
      <c r="AD195" s="870"/>
      <c r="AE195" s="902">
        <v>0</v>
      </c>
      <c r="AF195" s="870"/>
      <c r="AG195" s="902">
        <f t="shared" si="35"/>
        <v>0</v>
      </c>
      <c r="AH195" s="997"/>
    </row>
    <row r="196" spans="1:34" ht="21.9" customHeight="1" x14ac:dyDescent="0.4">
      <c r="A196" s="942" t="s">
        <v>741</v>
      </c>
      <c r="B196" s="942"/>
      <c r="C196" s="942"/>
      <c r="D196" s="942"/>
      <c r="E196" s="942"/>
      <c r="F196" s="942"/>
      <c r="G196" s="942"/>
      <c r="H196" s="942"/>
      <c r="I196" s="942"/>
      <c r="J196" s="942"/>
      <c r="L196" s="877" t="s">
        <v>741</v>
      </c>
      <c r="M196" s="878" t="s">
        <v>741</v>
      </c>
      <c r="N196" s="879"/>
      <c r="O196" s="879"/>
      <c r="P196" s="880"/>
      <c r="Q196" s="877" t="s">
        <v>741</v>
      </c>
      <c r="R196" s="877" t="s">
        <v>741</v>
      </c>
      <c r="S196" s="878"/>
      <c r="T196" s="882">
        <v>0</v>
      </c>
      <c r="U196" s="878" t="s">
        <v>741</v>
      </c>
      <c r="V196" s="882">
        <f t="shared" si="34"/>
        <v>0</v>
      </c>
      <c r="W196" s="869" t="s">
        <v>741</v>
      </c>
      <c r="X196" s="870" t="s">
        <v>741</v>
      </c>
      <c r="Y196" s="883"/>
      <c r="Z196" s="883"/>
      <c r="AA196" s="884"/>
      <c r="AB196" s="869" t="s">
        <v>741</v>
      </c>
      <c r="AC196" s="869" t="s">
        <v>741</v>
      </c>
      <c r="AD196" s="870"/>
      <c r="AE196" s="871" t="s">
        <v>741</v>
      </c>
      <c r="AF196" s="870"/>
      <c r="AG196" s="902" t="s">
        <v>741</v>
      </c>
      <c r="AH196" s="997"/>
    </row>
    <row r="197" spans="1:34" ht="21.9" customHeight="1" x14ac:dyDescent="0.4">
      <c r="A197" s="942" t="s">
        <v>741</v>
      </c>
      <c r="B197" s="942"/>
      <c r="C197" s="942"/>
      <c r="D197" s="942"/>
      <c r="E197" s="942"/>
      <c r="F197" s="942"/>
      <c r="G197" s="942"/>
      <c r="H197" s="942"/>
      <c r="I197" s="942"/>
      <c r="J197" s="942"/>
      <c r="L197" s="877" t="s">
        <v>741</v>
      </c>
      <c r="M197" s="878" t="s">
        <v>741</v>
      </c>
      <c r="N197" s="879"/>
      <c r="O197" s="879"/>
      <c r="P197" s="880"/>
      <c r="Q197" s="877" t="s">
        <v>741</v>
      </c>
      <c r="R197" s="877" t="s">
        <v>741</v>
      </c>
      <c r="S197" s="878"/>
      <c r="T197" s="882">
        <v>0</v>
      </c>
      <c r="U197" s="878" t="s">
        <v>741</v>
      </c>
      <c r="V197" s="882">
        <f t="shared" si="34"/>
        <v>0</v>
      </c>
      <c r="W197" s="869" t="s">
        <v>741</v>
      </c>
      <c r="X197" s="870" t="s">
        <v>741</v>
      </c>
      <c r="Y197" s="883"/>
      <c r="Z197" s="883"/>
      <c r="AA197" s="884"/>
      <c r="AB197" s="869" t="s">
        <v>741</v>
      </c>
      <c r="AC197" s="869" t="s">
        <v>741</v>
      </c>
      <c r="AD197" s="870"/>
      <c r="AE197" s="871" t="s">
        <v>741</v>
      </c>
      <c r="AF197" s="870"/>
      <c r="AG197" s="902" t="s">
        <v>741</v>
      </c>
      <c r="AH197" s="1001"/>
    </row>
    <row r="198" spans="1:34" ht="21.9" customHeight="1" x14ac:dyDescent="0.4">
      <c r="A198" s="942" t="s">
        <v>741</v>
      </c>
      <c r="B198" s="942"/>
      <c r="C198" s="942"/>
      <c r="D198" s="942"/>
      <c r="E198" s="942"/>
      <c r="F198" s="942"/>
      <c r="G198" s="942"/>
      <c r="H198" s="942"/>
      <c r="I198" s="942"/>
      <c r="J198" s="942"/>
      <c r="L198" s="903" t="s">
        <v>260</v>
      </c>
      <c r="M198" s="904"/>
      <c r="N198" s="904"/>
      <c r="O198" s="904"/>
      <c r="P198" s="904"/>
      <c r="Q198" s="904"/>
      <c r="R198" s="904"/>
      <c r="S198" s="904"/>
      <c r="T198" s="905"/>
      <c r="U198" s="906"/>
      <c r="V198" s="907">
        <f>SUM(V186:V197)</f>
        <v>64827.777777777781</v>
      </c>
      <c r="W198" s="908" t="s">
        <v>260</v>
      </c>
      <c r="X198" s="909"/>
      <c r="Y198" s="909"/>
      <c r="Z198" s="909"/>
      <c r="AA198" s="909"/>
      <c r="AB198" s="909"/>
      <c r="AC198" s="909"/>
      <c r="AD198" s="909"/>
      <c r="AE198" s="910"/>
      <c r="AF198" s="911"/>
      <c r="AG198" s="912">
        <f>SUM(AG187:AG197)</f>
        <v>65000</v>
      </c>
    </row>
    <row r="199" spans="1:34" ht="21.9" customHeight="1" x14ac:dyDescent="0.4">
      <c r="A199" s="942" t="s">
        <v>741</v>
      </c>
      <c r="B199" s="942"/>
      <c r="C199" s="942"/>
      <c r="D199" s="942"/>
      <c r="E199" s="942"/>
      <c r="F199" s="942"/>
      <c r="G199" s="942"/>
      <c r="H199" s="942"/>
      <c r="I199" s="942"/>
      <c r="J199" s="942"/>
      <c r="L199" s="831"/>
      <c r="M199" s="831"/>
      <c r="N199" s="831"/>
      <c r="O199" s="831"/>
      <c r="P199" s="831"/>
      <c r="Q199" s="831"/>
      <c r="R199" s="831"/>
      <c r="S199" s="831"/>
      <c r="T199" s="831"/>
      <c r="U199" s="831"/>
      <c r="V199" s="831"/>
      <c r="W199" s="984" t="s">
        <v>741</v>
      </c>
      <c r="X199" s="862" t="s">
        <v>741</v>
      </c>
      <c r="Y199" s="862"/>
      <c r="Z199" s="862"/>
      <c r="AA199" s="862"/>
      <c r="AB199" s="984" t="s">
        <v>741</v>
      </c>
      <c r="AC199" s="984" t="s">
        <v>741</v>
      </c>
      <c r="AD199" s="862"/>
      <c r="AE199" s="985" t="s">
        <v>741</v>
      </c>
      <c r="AF199" s="862"/>
      <c r="AG199" s="985" t="s">
        <v>741</v>
      </c>
    </row>
    <row r="200" spans="1:34" ht="21.9" customHeight="1" x14ac:dyDescent="0.4">
      <c r="A200" s="942" t="s">
        <v>741</v>
      </c>
      <c r="B200" s="942"/>
      <c r="C200" s="942"/>
      <c r="D200" s="942"/>
      <c r="E200" s="942"/>
      <c r="F200" s="942"/>
      <c r="G200" s="942"/>
      <c r="H200" s="942"/>
      <c r="I200" s="942"/>
      <c r="J200" s="942"/>
      <c r="L200" s="831"/>
      <c r="M200" s="837" t="s">
        <v>237</v>
      </c>
      <c r="N200" s="837"/>
      <c r="O200" s="837"/>
      <c r="P200" s="837">
        <v>60</v>
      </c>
      <c r="Q200" s="837" t="s">
        <v>660</v>
      </c>
      <c r="R200" s="831"/>
      <c r="S200" s="838" t="s">
        <v>518</v>
      </c>
      <c r="T200" s="837">
        <f>E21</f>
        <v>18</v>
      </c>
      <c r="U200" s="839" t="s">
        <v>519</v>
      </c>
      <c r="V200" s="831"/>
      <c r="W200" s="883"/>
      <c r="X200" s="837" t="s">
        <v>238</v>
      </c>
      <c r="Y200" s="837"/>
      <c r="Z200" s="837"/>
      <c r="AA200" s="837">
        <v>60</v>
      </c>
      <c r="AB200" s="837" t="s">
        <v>660</v>
      </c>
      <c r="AC200" s="831"/>
      <c r="AD200" s="838" t="s">
        <v>518</v>
      </c>
      <c r="AE200" s="837">
        <f>E21</f>
        <v>18</v>
      </c>
      <c r="AF200" s="839" t="s">
        <v>519</v>
      </c>
      <c r="AG200" s="831"/>
    </row>
    <row r="201" spans="1:34" ht="21.9" customHeight="1" x14ac:dyDescent="0.4">
      <c r="A201" s="942" t="s">
        <v>741</v>
      </c>
      <c r="B201" s="942"/>
      <c r="C201" s="942"/>
      <c r="D201" s="942"/>
      <c r="E201" s="942"/>
      <c r="F201" s="942"/>
      <c r="G201" s="942"/>
      <c r="H201" s="942"/>
      <c r="I201" s="942"/>
      <c r="J201" s="942"/>
      <c r="L201" s="847" t="s">
        <v>522</v>
      </c>
      <c r="M201" s="848" t="s">
        <v>523</v>
      </c>
      <c r="N201" s="849"/>
      <c r="O201" s="849"/>
      <c r="P201" s="850"/>
      <c r="Q201" s="847" t="s">
        <v>524</v>
      </c>
      <c r="R201" s="847" t="s">
        <v>525</v>
      </c>
      <c r="S201" s="851" t="s">
        <v>526</v>
      </c>
      <c r="T201" s="852"/>
      <c r="U201" s="851" t="s">
        <v>527</v>
      </c>
      <c r="V201" s="852"/>
      <c r="W201" s="847" t="s">
        <v>522</v>
      </c>
      <c r="X201" s="848" t="s">
        <v>523</v>
      </c>
      <c r="Y201" s="849"/>
      <c r="Z201" s="849"/>
      <c r="AA201" s="850"/>
      <c r="AB201" s="847" t="s">
        <v>524</v>
      </c>
      <c r="AC201" s="847" t="s">
        <v>525</v>
      </c>
      <c r="AD201" s="851" t="s">
        <v>528</v>
      </c>
      <c r="AE201" s="852"/>
      <c r="AF201" s="851" t="s">
        <v>529</v>
      </c>
      <c r="AG201" s="852"/>
    </row>
    <row r="202" spans="1:34" ht="21.9" customHeight="1" x14ac:dyDescent="0.4">
      <c r="A202" s="942" t="s">
        <v>741</v>
      </c>
      <c r="B202" s="942"/>
      <c r="C202" s="942"/>
      <c r="D202" s="942"/>
      <c r="E202" s="942"/>
      <c r="F202" s="942"/>
      <c r="G202" s="942"/>
      <c r="H202" s="942"/>
      <c r="I202" s="942"/>
      <c r="J202" s="942"/>
      <c r="L202" s="854"/>
      <c r="M202" s="855"/>
      <c r="N202" s="856"/>
      <c r="O202" s="856"/>
      <c r="P202" s="857"/>
      <c r="Q202" s="854"/>
      <c r="R202" s="854"/>
      <c r="S202" s="858" t="s">
        <v>533</v>
      </c>
      <c r="T202" s="859"/>
      <c r="U202" s="858" t="s">
        <v>732</v>
      </c>
      <c r="V202" s="859"/>
      <c r="W202" s="854"/>
      <c r="X202" s="855"/>
      <c r="Y202" s="856"/>
      <c r="Z202" s="856"/>
      <c r="AA202" s="857"/>
      <c r="AB202" s="854"/>
      <c r="AC202" s="854"/>
      <c r="AD202" s="858" t="s">
        <v>733</v>
      </c>
      <c r="AE202" s="859"/>
      <c r="AF202" s="858" t="s">
        <v>732</v>
      </c>
      <c r="AG202" s="859"/>
    </row>
    <row r="203" spans="1:34" ht="21.9" customHeight="1" x14ac:dyDescent="0.4">
      <c r="A203" s="942" t="s">
        <v>741</v>
      </c>
      <c r="B203" s="942"/>
      <c r="C203" s="942"/>
      <c r="D203" s="942"/>
      <c r="E203" s="942"/>
      <c r="F203" s="942"/>
      <c r="G203" s="942"/>
      <c r="H203" s="942"/>
      <c r="I203" s="942"/>
      <c r="J203" s="942"/>
      <c r="L203" s="860">
        <v>1</v>
      </c>
      <c r="M203" s="861" t="s">
        <v>739</v>
      </c>
      <c r="N203" s="862"/>
      <c r="O203" s="862"/>
      <c r="P203" s="863"/>
      <c r="Q203" s="864"/>
      <c r="R203" s="864"/>
      <c r="S203" s="865"/>
      <c r="T203" s="863"/>
      <c r="U203" s="865"/>
      <c r="V203" s="863"/>
      <c r="W203" s="866">
        <v>1</v>
      </c>
      <c r="X203" s="867" t="s">
        <v>740</v>
      </c>
      <c r="Y203" s="845"/>
      <c r="Z203" s="845"/>
      <c r="AA203" s="868"/>
      <c r="AB203" s="869"/>
      <c r="AC203" s="869"/>
      <c r="AD203" s="870"/>
      <c r="AE203" s="871"/>
      <c r="AF203" s="870"/>
      <c r="AG203" s="872" t="s">
        <v>741</v>
      </c>
    </row>
    <row r="204" spans="1:34" ht="21.9" customHeight="1" x14ac:dyDescent="0.4">
      <c r="A204" s="942" t="s">
        <v>741</v>
      </c>
      <c r="B204" s="942"/>
      <c r="C204" s="942"/>
      <c r="D204" s="942"/>
      <c r="E204" s="942"/>
      <c r="F204" s="942"/>
      <c r="G204" s="942"/>
      <c r="H204" s="942"/>
      <c r="I204" s="942"/>
      <c r="J204" s="942"/>
      <c r="L204" s="877">
        <v>1.1000000000000001</v>
      </c>
      <c r="M204" s="878" t="s">
        <v>1437</v>
      </c>
      <c r="N204" s="879"/>
      <c r="O204" s="879"/>
      <c r="P204" s="880"/>
      <c r="Q204" s="877" t="s">
        <v>747</v>
      </c>
      <c r="R204" s="877">
        <v>1</v>
      </c>
      <c r="S204" s="878"/>
      <c r="T204" s="881">
        <v>4.1799999999999997E-2</v>
      </c>
      <c r="U204" s="878"/>
      <c r="V204" s="882">
        <f t="shared" ref="V204:V214" si="36">((($P$200*1000000)*T204)/100)/$T$200</f>
        <v>1393.3333333333333</v>
      </c>
      <c r="W204" s="869">
        <v>1.1000000000000001</v>
      </c>
      <c r="X204" s="870" t="s">
        <v>748</v>
      </c>
      <c r="Y204" s="883"/>
      <c r="Z204" s="883"/>
      <c r="AA204" s="884"/>
      <c r="AB204" s="869" t="s">
        <v>749</v>
      </c>
      <c r="AC204" s="869">
        <v>1</v>
      </c>
      <c r="AD204" s="870"/>
      <c r="AE204" s="957">
        <v>40000</v>
      </c>
      <c r="AF204" s="870"/>
      <c r="AG204" s="902">
        <f t="shared" ref="AG204:AG212" si="37">(AC204*AE204)</f>
        <v>40000</v>
      </c>
    </row>
    <row r="205" spans="1:34" ht="21.9" customHeight="1" x14ac:dyDescent="0.4">
      <c r="A205" s="942" t="s">
        <v>741</v>
      </c>
      <c r="B205" s="942"/>
      <c r="C205" s="942"/>
      <c r="D205" s="942"/>
      <c r="E205" s="942"/>
      <c r="F205" s="942"/>
      <c r="G205" s="942"/>
      <c r="H205" s="942"/>
      <c r="I205" s="942"/>
      <c r="J205" s="942"/>
      <c r="L205" s="877">
        <v>1.2</v>
      </c>
      <c r="M205" s="878" t="s">
        <v>752</v>
      </c>
      <c r="N205" s="879"/>
      <c r="O205" s="879"/>
      <c r="P205" s="880"/>
      <c r="Q205" s="877" t="s">
        <v>747</v>
      </c>
      <c r="R205" s="877">
        <v>1</v>
      </c>
      <c r="S205" s="878"/>
      <c r="T205" s="881">
        <v>0.85729999999999995</v>
      </c>
      <c r="U205" s="878"/>
      <c r="V205" s="882">
        <f t="shared" si="36"/>
        <v>28576.666666666668</v>
      </c>
      <c r="W205" s="869">
        <v>1.2</v>
      </c>
      <c r="X205" s="870" t="s">
        <v>753</v>
      </c>
      <c r="Y205" s="883"/>
      <c r="Z205" s="883"/>
      <c r="AA205" s="884"/>
      <c r="AB205" s="869" t="s">
        <v>749</v>
      </c>
      <c r="AC205" s="869">
        <v>0</v>
      </c>
      <c r="AD205" s="870"/>
      <c r="AE205" s="902">
        <v>0</v>
      </c>
      <c r="AF205" s="870"/>
      <c r="AG205" s="902">
        <f t="shared" si="37"/>
        <v>0</v>
      </c>
    </row>
    <row r="206" spans="1:34" ht="21.9" customHeight="1" x14ac:dyDescent="0.4">
      <c r="A206" s="942" t="s">
        <v>741</v>
      </c>
      <c r="B206" s="942"/>
      <c r="C206" s="942"/>
      <c r="D206" s="942"/>
      <c r="E206" s="942"/>
      <c r="F206" s="942"/>
      <c r="G206" s="942"/>
      <c r="H206" s="942"/>
      <c r="I206" s="942"/>
      <c r="J206" s="942"/>
      <c r="L206" s="877">
        <v>1.3</v>
      </c>
      <c r="M206" s="878" t="s">
        <v>754</v>
      </c>
      <c r="N206" s="879"/>
      <c r="O206" s="879"/>
      <c r="P206" s="880"/>
      <c r="Q206" s="877" t="s">
        <v>747</v>
      </c>
      <c r="R206" s="898">
        <v>1</v>
      </c>
      <c r="S206" s="878"/>
      <c r="T206" s="881">
        <v>0.01</v>
      </c>
      <c r="U206" s="878"/>
      <c r="V206" s="882">
        <f t="shared" si="36"/>
        <v>333.33333333333331</v>
      </c>
      <c r="W206" s="869">
        <v>1.3</v>
      </c>
      <c r="X206" s="870" t="s">
        <v>755</v>
      </c>
      <c r="Y206" s="883"/>
      <c r="Z206" s="883"/>
      <c r="AA206" s="884"/>
      <c r="AB206" s="869" t="s">
        <v>749</v>
      </c>
      <c r="AC206" s="869">
        <v>1</v>
      </c>
      <c r="AD206" s="870"/>
      <c r="AE206" s="902">
        <v>25000</v>
      </c>
      <c r="AF206" s="870"/>
      <c r="AG206" s="902">
        <f t="shared" si="37"/>
        <v>25000</v>
      </c>
    </row>
    <row r="207" spans="1:34" ht="21.9" customHeight="1" x14ac:dyDescent="0.4">
      <c r="A207" s="942" t="s">
        <v>741</v>
      </c>
      <c r="B207" s="942"/>
      <c r="C207" s="942"/>
      <c r="D207" s="942"/>
      <c r="E207" s="942"/>
      <c r="F207" s="942"/>
      <c r="G207" s="942"/>
      <c r="H207" s="942"/>
      <c r="I207" s="942"/>
      <c r="J207" s="942"/>
      <c r="L207" s="877">
        <v>1.4</v>
      </c>
      <c r="M207" s="878" t="s">
        <v>453</v>
      </c>
      <c r="N207" s="879"/>
      <c r="O207" s="879"/>
      <c r="P207" s="880"/>
      <c r="Q207" s="877" t="s">
        <v>747</v>
      </c>
      <c r="R207" s="877">
        <v>1</v>
      </c>
      <c r="S207" s="878"/>
      <c r="T207" s="881">
        <v>9.3899999999999997E-2</v>
      </c>
      <c r="U207" s="878"/>
      <c r="V207" s="882">
        <f t="shared" si="36"/>
        <v>3130</v>
      </c>
      <c r="W207" s="869">
        <v>1.4</v>
      </c>
      <c r="X207" s="870" t="s">
        <v>454</v>
      </c>
      <c r="Y207" s="883"/>
      <c r="Z207" s="883"/>
      <c r="AA207" s="884"/>
      <c r="AB207" s="869" t="s">
        <v>749</v>
      </c>
      <c r="AC207" s="869">
        <v>0</v>
      </c>
      <c r="AD207" s="870"/>
      <c r="AE207" s="902">
        <v>0</v>
      </c>
      <c r="AF207" s="870"/>
      <c r="AG207" s="902">
        <f t="shared" si="37"/>
        <v>0</v>
      </c>
    </row>
    <row r="208" spans="1:34" ht="21.9" customHeight="1" x14ac:dyDescent="0.4">
      <c r="A208" s="942" t="s">
        <v>741</v>
      </c>
      <c r="B208" s="942"/>
      <c r="C208" s="942"/>
      <c r="D208" s="942"/>
      <c r="E208" s="942"/>
      <c r="F208" s="942"/>
      <c r="G208" s="942"/>
      <c r="H208" s="942"/>
      <c r="I208" s="942"/>
      <c r="J208" s="942"/>
      <c r="L208" s="900">
        <v>2</v>
      </c>
      <c r="M208" s="901" t="s">
        <v>455</v>
      </c>
      <c r="N208" s="879"/>
      <c r="O208" s="879"/>
      <c r="P208" s="880"/>
      <c r="Q208" s="877"/>
      <c r="R208" s="877"/>
      <c r="S208" s="878"/>
      <c r="T208" s="882">
        <v>0</v>
      </c>
      <c r="U208" s="878"/>
      <c r="V208" s="882">
        <f t="shared" si="36"/>
        <v>0</v>
      </c>
      <c r="W208" s="869">
        <v>1.5</v>
      </c>
      <c r="X208" s="870" t="s">
        <v>456</v>
      </c>
      <c r="Y208" s="883"/>
      <c r="Z208" s="883"/>
      <c r="AA208" s="884"/>
      <c r="AB208" s="869" t="s">
        <v>749</v>
      </c>
      <c r="AC208" s="869">
        <v>2</v>
      </c>
      <c r="AD208" s="870"/>
      <c r="AE208" s="902">
        <v>12000</v>
      </c>
      <c r="AF208" s="870"/>
      <c r="AG208" s="902">
        <f t="shared" si="37"/>
        <v>24000</v>
      </c>
    </row>
    <row r="209" spans="1:35" ht="21.9" customHeight="1" x14ac:dyDescent="0.4">
      <c r="A209" s="942" t="s">
        <v>741</v>
      </c>
      <c r="B209" s="942"/>
      <c r="C209" s="942"/>
      <c r="D209" s="942"/>
      <c r="E209" s="942"/>
      <c r="F209" s="942"/>
      <c r="G209" s="942"/>
      <c r="H209" s="942"/>
      <c r="I209" s="942"/>
      <c r="J209" s="942"/>
      <c r="L209" s="877">
        <v>2.1</v>
      </c>
      <c r="M209" s="878" t="s">
        <v>457</v>
      </c>
      <c r="N209" s="879"/>
      <c r="O209" s="879"/>
      <c r="P209" s="880"/>
      <c r="Q209" s="877" t="s">
        <v>747</v>
      </c>
      <c r="R209" s="877">
        <v>1</v>
      </c>
      <c r="S209" s="878"/>
      <c r="T209" s="881">
        <v>0.32200000000000001</v>
      </c>
      <c r="U209" s="878"/>
      <c r="V209" s="882">
        <f t="shared" si="36"/>
        <v>10733.333333333334</v>
      </c>
      <c r="W209" s="869">
        <v>1.6</v>
      </c>
      <c r="X209" s="870" t="s">
        <v>458</v>
      </c>
      <c r="Y209" s="883"/>
      <c r="Z209" s="883"/>
      <c r="AA209" s="884"/>
      <c r="AB209" s="869" t="s">
        <v>749</v>
      </c>
      <c r="AC209" s="869">
        <v>1</v>
      </c>
      <c r="AD209" s="870"/>
      <c r="AE209" s="902">
        <v>6000</v>
      </c>
      <c r="AF209" s="870"/>
      <c r="AG209" s="902">
        <f t="shared" si="37"/>
        <v>6000</v>
      </c>
    </row>
    <row r="210" spans="1:35" ht="21.9" customHeight="1" x14ac:dyDescent="0.35">
      <c r="L210" s="877">
        <v>2.2000000000000002</v>
      </c>
      <c r="M210" s="878" t="s">
        <v>459</v>
      </c>
      <c r="N210" s="879"/>
      <c r="O210" s="879"/>
      <c r="P210" s="880"/>
      <c r="Q210" s="877" t="s">
        <v>747</v>
      </c>
      <c r="R210" s="877">
        <v>1</v>
      </c>
      <c r="S210" s="878"/>
      <c r="T210" s="881">
        <v>0.71199999999999997</v>
      </c>
      <c r="U210" s="878"/>
      <c r="V210" s="882">
        <f t="shared" si="36"/>
        <v>23733.333333333332</v>
      </c>
      <c r="W210" s="869">
        <v>1.7</v>
      </c>
      <c r="X210" s="870" t="s">
        <v>460</v>
      </c>
      <c r="Y210" s="883"/>
      <c r="Z210" s="883"/>
      <c r="AA210" s="884"/>
      <c r="AB210" s="869" t="s">
        <v>749</v>
      </c>
      <c r="AC210" s="869">
        <v>1</v>
      </c>
      <c r="AD210" s="870"/>
      <c r="AE210" s="902">
        <v>10000</v>
      </c>
      <c r="AF210" s="870"/>
      <c r="AG210" s="902">
        <f t="shared" si="37"/>
        <v>10000</v>
      </c>
    </row>
    <row r="211" spans="1:35" ht="21.9" customHeight="1" x14ac:dyDescent="0.4">
      <c r="A211" s="942"/>
      <c r="B211" s="942"/>
      <c r="C211" s="942"/>
      <c r="D211" s="942"/>
      <c r="E211" s="942"/>
      <c r="F211" s="942"/>
      <c r="G211" s="942"/>
      <c r="H211" s="942"/>
      <c r="I211" s="942"/>
      <c r="J211" s="942"/>
      <c r="L211" s="877">
        <v>2.2999999999999998</v>
      </c>
      <c r="M211" s="878" t="s">
        <v>461</v>
      </c>
      <c r="N211" s="879"/>
      <c r="O211" s="879"/>
      <c r="P211" s="880"/>
      <c r="Q211" s="877" t="s">
        <v>747</v>
      </c>
      <c r="R211" s="877">
        <v>1</v>
      </c>
      <c r="S211" s="878"/>
      <c r="T211" s="881">
        <v>2.4299999999999999E-2</v>
      </c>
      <c r="U211" s="878"/>
      <c r="V211" s="882">
        <f t="shared" si="36"/>
        <v>810</v>
      </c>
      <c r="W211" s="869">
        <v>1.8</v>
      </c>
      <c r="X211" s="870" t="s">
        <v>462</v>
      </c>
      <c r="Y211" s="845"/>
      <c r="Z211" s="845"/>
      <c r="AA211" s="868"/>
      <c r="AB211" s="869" t="s">
        <v>749</v>
      </c>
      <c r="AC211" s="869">
        <v>1</v>
      </c>
      <c r="AD211" s="870"/>
      <c r="AE211" s="902">
        <v>8000</v>
      </c>
      <c r="AF211" s="870"/>
      <c r="AG211" s="902">
        <f t="shared" si="37"/>
        <v>8000</v>
      </c>
    </row>
    <row r="212" spans="1:35" ht="21.9" customHeight="1" x14ac:dyDescent="0.35">
      <c r="B212" s="840"/>
      <c r="C212" s="840"/>
      <c r="L212" s="877">
        <v>2.4</v>
      </c>
      <c r="M212" s="878" t="s">
        <v>463</v>
      </c>
      <c r="N212" s="879"/>
      <c r="O212" s="879"/>
      <c r="P212" s="880"/>
      <c r="Q212" s="877" t="s">
        <v>747</v>
      </c>
      <c r="R212" s="877">
        <v>1</v>
      </c>
      <c r="S212" s="878"/>
      <c r="T212" s="881">
        <v>5.0500000000000003E-2</v>
      </c>
      <c r="U212" s="878"/>
      <c r="V212" s="882">
        <f t="shared" si="36"/>
        <v>1683.3333333333333</v>
      </c>
      <c r="W212" s="869">
        <v>1.9</v>
      </c>
      <c r="X212" s="870" t="s">
        <v>464</v>
      </c>
      <c r="Y212" s="883"/>
      <c r="Z212" s="883"/>
      <c r="AA212" s="884"/>
      <c r="AB212" s="869" t="s">
        <v>749</v>
      </c>
      <c r="AC212" s="869">
        <v>0</v>
      </c>
      <c r="AD212" s="870"/>
      <c r="AE212" s="902">
        <v>0</v>
      </c>
      <c r="AF212" s="870"/>
      <c r="AG212" s="902">
        <f t="shared" si="37"/>
        <v>0</v>
      </c>
    </row>
    <row r="213" spans="1:35" ht="21.9" customHeight="1" x14ac:dyDescent="0.35">
      <c r="L213" s="877" t="s">
        <v>741</v>
      </c>
      <c r="M213" s="878" t="s">
        <v>741</v>
      </c>
      <c r="N213" s="879"/>
      <c r="O213" s="879"/>
      <c r="P213" s="880"/>
      <c r="Q213" s="877" t="s">
        <v>741</v>
      </c>
      <c r="R213" s="877" t="s">
        <v>741</v>
      </c>
      <c r="S213" s="878"/>
      <c r="T213" s="882">
        <v>0</v>
      </c>
      <c r="U213" s="878" t="s">
        <v>741</v>
      </c>
      <c r="V213" s="882">
        <f t="shared" si="36"/>
        <v>0</v>
      </c>
      <c r="W213" s="869" t="s">
        <v>741</v>
      </c>
      <c r="X213" s="870" t="s">
        <v>741</v>
      </c>
      <c r="Y213" s="845"/>
      <c r="Z213" s="845"/>
      <c r="AA213" s="868"/>
      <c r="AB213" s="869" t="s">
        <v>741</v>
      </c>
      <c r="AC213" s="869" t="s">
        <v>741</v>
      </c>
      <c r="AD213" s="870"/>
      <c r="AE213" s="871"/>
      <c r="AF213" s="870"/>
      <c r="AG213" s="902" t="s">
        <v>741</v>
      </c>
    </row>
    <row r="214" spans="1:35" ht="21.9" customHeight="1" x14ac:dyDescent="0.35">
      <c r="A214" s="951"/>
      <c r="B214" s="951"/>
      <c r="C214" s="951"/>
      <c r="D214" s="951"/>
      <c r="F214" s="951"/>
      <c r="G214" s="951"/>
      <c r="H214" s="951"/>
      <c r="I214" s="951"/>
      <c r="J214" s="1002"/>
      <c r="K214" s="1002"/>
      <c r="L214" s="877" t="s">
        <v>741</v>
      </c>
      <c r="M214" s="878" t="s">
        <v>741</v>
      </c>
      <c r="N214" s="879"/>
      <c r="O214" s="879"/>
      <c r="P214" s="880"/>
      <c r="Q214" s="877" t="s">
        <v>741</v>
      </c>
      <c r="R214" s="877" t="s">
        <v>741</v>
      </c>
      <c r="S214" s="878"/>
      <c r="T214" s="882">
        <v>0</v>
      </c>
      <c r="U214" s="878" t="s">
        <v>741</v>
      </c>
      <c r="V214" s="882">
        <f t="shared" si="36"/>
        <v>0</v>
      </c>
      <c r="W214" s="869" t="s">
        <v>741</v>
      </c>
      <c r="X214" s="870" t="s">
        <v>741</v>
      </c>
      <c r="Y214" s="883"/>
      <c r="Z214" s="883"/>
      <c r="AA214" s="884"/>
      <c r="AB214" s="869" t="s">
        <v>741</v>
      </c>
      <c r="AC214" s="869" t="s">
        <v>741</v>
      </c>
      <c r="AD214" s="870"/>
      <c r="AE214" s="871" t="s">
        <v>741</v>
      </c>
      <c r="AF214" s="870"/>
      <c r="AG214" s="902" t="s">
        <v>741</v>
      </c>
    </row>
    <row r="215" spans="1:35" ht="21.9" customHeight="1" x14ac:dyDescent="0.35">
      <c r="F215" s="951"/>
      <c r="G215" s="951"/>
      <c r="H215" s="951"/>
      <c r="I215" s="951"/>
      <c r="J215" s="1002"/>
      <c r="K215" s="1002"/>
      <c r="L215" s="903" t="s">
        <v>260</v>
      </c>
      <c r="M215" s="904"/>
      <c r="N215" s="904"/>
      <c r="O215" s="904"/>
      <c r="P215" s="904"/>
      <c r="Q215" s="904"/>
      <c r="R215" s="904"/>
      <c r="S215" s="904"/>
      <c r="T215" s="905"/>
      <c r="U215" s="906"/>
      <c r="V215" s="907">
        <f>SUM(V203:V214)</f>
        <v>70393.333333333328</v>
      </c>
      <c r="W215" s="908" t="s">
        <v>260</v>
      </c>
      <c r="X215" s="909"/>
      <c r="Y215" s="909"/>
      <c r="Z215" s="909"/>
      <c r="AA215" s="909"/>
      <c r="AB215" s="909"/>
      <c r="AC215" s="909"/>
      <c r="AD215" s="909"/>
      <c r="AE215" s="910"/>
      <c r="AF215" s="911"/>
      <c r="AG215" s="912">
        <f>SUM(AG204:AG214)</f>
        <v>113000</v>
      </c>
    </row>
    <row r="216" spans="1:35" ht="21.9" customHeight="1" x14ac:dyDescent="0.35">
      <c r="A216" s="841"/>
      <c r="F216" s="951"/>
      <c r="G216" s="951"/>
      <c r="L216" s="831"/>
      <c r="M216" s="831"/>
      <c r="N216" s="831"/>
      <c r="O216" s="831"/>
      <c r="P216" s="831"/>
      <c r="Q216" s="831"/>
      <c r="R216" s="831"/>
      <c r="S216" s="831"/>
      <c r="T216" s="831"/>
      <c r="U216" s="831"/>
      <c r="V216" s="831"/>
    </row>
    <row r="217" spans="1:35" ht="21.9" customHeight="1" x14ac:dyDescent="0.35">
      <c r="A217" s="841"/>
      <c r="F217" s="951"/>
      <c r="G217" s="951"/>
      <c r="L217" s="930" t="s">
        <v>239</v>
      </c>
      <c r="M217" s="930"/>
      <c r="N217" s="930"/>
      <c r="O217" s="930"/>
      <c r="P217" s="930"/>
      <c r="Q217" s="930"/>
      <c r="R217" s="930"/>
      <c r="S217" s="930"/>
      <c r="T217" s="930"/>
      <c r="U217" s="930"/>
      <c r="V217" s="930"/>
      <c r="W217" s="828" t="s">
        <v>240</v>
      </c>
      <c r="X217" s="828"/>
      <c r="Y217" s="828"/>
      <c r="Z217" s="828"/>
      <c r="AA217" s="828"/>
      <c r="AB217" s="828"/>
      <c r="AC217" s="828"/>
      <c r="AD217" s="828"/>
      <c r="AE217" s="828"/>
      <c r="AF217" s="828"/>
      <c r="AG217" s="828"/>
      <c r="AI217" s="1003"/>
    </row>
    <row r="218" spans="1:35" ht="21.9" customHeight="1" x14ac:dyDescent="0.35">
      <c r="A218" s="841"/>
      <c r="F218" s="951"/>
      <c r="G218" s="951"/>
      <c r="L218" s="831"/>
      <c r="M218" s="831"/>
      <c r="N218" s="831"/>
      <c r="O218" s="831"/>
      <c r="P218" s="831"/>
      <c r="Q218" s="831"/>
      <c r="R218" s="831"/>
      <c r="S218" s="831"/>
      <c r="T218" s="831"/>
      <c r="U218" s="831"/>
      <c r="V218" s="831"/>
      <c r="AI218" s="1003"/>
    </row>
    <row r="219" spans="1:35" ht="21.9" customHeight="1" x14ac:dyDescent="0.35">
      <c r="A219" s="841"/>
      <c r="F219" s="951"/>
      <c r="G219" s="951"/>
      <c r="L219" s="831"/>
      <c r="M219" s="837" t="s">
        <v>241</v>
      </c>
      <c r="N219" s="837"/>
      <c r="O219" s="837"/>
      <c r="P219" s="837">
        <v>70</v>
      </c>
      <c r="Q219" s="837" t="s">
        <v>660</v>
      </c>
      <c r="R219" s="831"/>
      <c r="S219" s="838" t="s">
        <v>518</v>
      </c>
      <c r="T219" s="837">
        <f>E22</f>
        <v>20</v>
      </c>
      <c r="U219" s="839" t="s">
        <v>519</v>
      </c>
      <c r="V219" s="831"/>
      <c r="X219" s="840" t="s">
        <v>242</v>
      </c>
      <c r="Y219" s="840"/>
      <c r="Z219" s="840"/>
      <c r="AA219" s="840">
        <v>70</v>
      </c>
      <c r="AB219" s="840" t="s">
        <v>660</v>
      </c>
      <c r="AD219" s="838" t="s">
        <v>518</v>
      </c>
      <c r="AE219" s="837">
        <f>E22</f>
        <v>20</v>
      </c>
      <c r="AF219" s="839" t="s">
        <v>519</v>
      </c>
      <c r="AI219" s="1003"/>
    </row>
    <row r="220" spans="1:35" ht="21.9" customHeight="1" x14ac:dyDescent="0.35">
      <c r="A220" s="841"/>
      <c r="F220" s="951"/>
      <c r="G220" s="951"/>
      <c r="L220" s="847" t="s">
        <v>522</v>
      </c>
      <c r="M220" s="848" t="s">
        <v>523</v>
      </c>
      <c r="N220" s="849"/>
      <c r="O220" s="849"/>
      <c r="P220" s="850"/>
      <c r="Q220" s="847" t="s">
        <v>524</v>
      </c>
      <c r="R220" s="847" t="s">
        <v>525</v>
      </c>
      <c r="S220" s="851" t="s">
        <v>526</v>
      </c>
      <c r="T220" s="852"/>
      <c r="U220" s="851" t="s">
        <v>527</v>
      </c>
      <c r="V220" s="852"/>
      <c r="W220" s="847" t="s">
        <v>522</v>
      </c>
      <c r="X220" s="848" t="s">
        <v>523</v>
      </c>
      <c r="Y220" s="849"/>
      <c r="Z220" s="849"/>
      <c r="AA220" s="850"/>
      <c r="AB220" s="847" t="s">
        <v>524</v>
      </c>
      <c r="AC220" s="847" t="s">
        <v>525</v>
      </c>
      <c r="AD220" s="851" t="s">
        <v>528</v>
      </c>
      <c r="AE220" s="852"/>
      <c r="AF220" s="851" t="s">
        <v>529</v>
      </c>
      <c r="AG220" s="852"/>
      <c r="AI220" s="1003"/>
    </row>
    <row r="221" spans="1:35" ht="21.9" customHeight="1" x14ac:dyDescent="0.35">
      <c r="A221" s="841"/>
      <c r="F221" s="951"/>
      <c r="G221" s="951"/>
      <c r="L221" s="854"/>
      <c r="M221" s="855"/>
      <c r="N221" s="856"/>
      <c r="O221" s="856"/>
      <c r="P221" s="857"/>
      <c r="Q221" s="854"/>
      <c r="R221" s="854"/>
      <c r="S221" s="858" t="s">
        <v>533</v>
      </c>
      <c r="T221" s="859"/>
      <c r="U221" s="858" t="s">
        <v>732</v>
      </c>
      <c r="V221" s="859"/>
      <c r="W221" s="854"/>
      <c r="X221" s="855"/>
      <c r="Y221" s="856"/>
      <c r="Z221" s="856"/>
      <c r="AA221" s="857"/>
      <c r="AB221" s="854"/>
      <c r="AC221" s="854"/>
      <c r="AD221" s="858" t="s">
        <v>733</v>
      </c>
      <c r="AE221" s="859"/>
      <c r="AF221" s="858" t="s">
        <v>732</v>
      </c>
      <c r="AG221" s="859"/>
      <c r="AI221" s="1003"/>
    </row>
    <row r="222" spans="1:35" ht="21.9" customHeight="1" x14ac:dyDescent="0.35">
      <c r="A222" s="841"/>
      <c r="F222" s="951"/>
      <c r="G222" s="951"/>
      <c r="L222" s="860">
        <v>1</v>
      </c>
      <c r="M222" s="861" t="s">
        <v>739</v>
      </c>
      <c r="N222" s="862"/>
      <c r="O222" s="862"/>
      <c r="P222" s="863"/>
      <c r="Q222" s="864"/>
      <c r="R222" s="864"/>
      <c r="S222" s="865"/>
      <c r="T222" s="863"/>
      <c r="U222" s="865"/>
      <c r="V222" s="863"/>
      <c r="W222" s="866">
        <v>1</v>
      </c>
      <c r="X222" s="867" t="s">
        <v>740</v>
      </c>
      <c r="Y222" s="845"/>
      <c r="Z222" s="845"/>
      <c r="AA222" s="868"/>
      <c r="AB222" s="869"/>
      <c r="AC222" s="869"/>
      <c r="AD222" s="870"/>
      <c r="AE222" s="871"/>
      <c r="AF222" s="870"/>
      <c r="AG222" s="872" t="s">
        <v>741</v>
      </c>
      <c r="AI222" s="1003"/>
    </row>
    <row r="223" spans="1:35" ht="21.9" customHeight="1" x14ac:dyDescent="0.35">
      <c r="A223" s="841"/>
      <c r="F223" s="951"/>
      <c r="G223" s="951"/>
      <c r="L223" s="877">
        <v>1.1000000000000001</v>
      </c>
      <c r="M223" s="878" t="s">
        <v>1437</v>
      </c>
      <c r="N223" s="879"/>
      <c r="O223" s="879"/>
      <c r="P223" s="880"/>
      <c r="Q223" s="877" t="s">
        <v>747</v>
      </c>
      <c r="R223" s="877">
        <v>1</v>
      </c>
      <c r="S223" s="878"/>
      <c r="T223" s="881">
        <v>4.1799999999999997E-2</v>
      </c>
      <c r="U223" s="878"/>
      <c r="V223" s="882">
        <f t="shared" ref="V223:V233" si="38">((($P$219*1000000)*T223)/100)/$T$219</f>
        <v>1463</v>
      </c>
      <c r="W223" s="869">
        <v>1.1000000000000001</v>
      </c>
      <c r="X223" s="870" t="s">
        <v>748</v>
      </c>
      <c r="Y223" s="883"/>
      <c r="Z223" s="883"/>
      <c r="AA223" s="884"/>
      <c r="AB223" s="869" t="s">
        <v>749</v>
      </c>
      <c r="AC223" s="869">
        <v>1</v>
      </c>
      <c r="AD223" s="870"/>
      <c r="AE223" s="957">
        <v>40000</v>
      </c>
      <c r="AF223" s="870"/>
      <c r="AG223" s="902">
        <f t="shared" ref="AG223:AG231" si="39">(AC223*AE223)</f>
        <v>40000</v>
      </c>
      <c r="AI223" s="1003"/>
    </row>
    <row r="224" spans="1:35" ht="21.9" customHeight="1" x14ac:dyDescent="0.35">
      <c r="A224" s="841"/>
      <c r="F224" s="951"/>
      <c r="G224" s="951"/>
      <c r="L224" s="877">
        <v>1.2</v>
      </c>
      <c r="M224" s="878" t="s">
        <v>752</v>
      </c>
      <c r="N224" s="879"/>
      <c r="O224" s="879"/>
      <c r="P224" s="880"/>
      <c r="Q224" s="877" t="s">
        <v>747</v>
      </c>
      <c r="R224" s="877">
        <v>1</v>
      </c>
      <c r="S224" s="878"/>
      <c r="T224" s="881">
        <v>0.85729999999999995</v>
      </c>
      <c r="U224" s="878"/>
      <c r="V224" s="882">
        <f t="shared" si="38"/>
        <v>30005.5</v>
      </c>
      <c r="W224" s="869">
        <v>1.2</v>
      </c>
      <c r="X224" s="870" t="s">
        <v>753</v>
      </c>
      <c r="Y224" s="883"/>
      <c r="Z224" s="883"/>
      <c r="AA224" s="884"/>
      <c r="AB224" s="869" t="s">
        <v>749</v>
      </c>
      <c r="AC224" s="869">
        <v>0</v>
      </c>
      <c r="AD224" s="870"/>
      <c r="AE224" s="902">
        <v>0</v>
      </c>
      <c r="AF224" s="870"/>
      <c r="AG224" s="902">
        <f t="shared" si="39"/>
        <v>0</v>
      </c>
      <c r="AI224" s="1003"/>
    </row>
    <row r="225" spans="1:35" ht="21.9" customHeight="1" x14ac:dyDescent="0.35">
      <c r="A225" s="841"/>
      <c r="F225" s="951"/>
      <c r="G225" s="951"/>
      <c r="L225" s="877">
        <v>1.3</v>
      </c>
      <c r="M225" s="878" t="s">
        <v>754</v>
      </c>
      <c r="N225" s="879"/>
      <c r="O225" s="879"/>
      <c r="P225" s="880"/>
      <c r="Q225" s="877" t="s">
        <v>747</v>
      </c>
      <c r="R225" s="898">
        <v>1</v>
      </c>
      <c r="S225" s="878"/>
      <c r="T225" s="881">
        <v>0.01</v>
      </c>
      <c r="U225" s="878"/>
      <c r="V225" s="882">
        <f t="shared" si="38"/>
        <v>350</v>
      </c>
      <c r="W225" s="869">
        <v>1.3</v>
      </c>
      <c r="X225" s="870" t="s">
        <v>755</v>
      </c>
      <c r="Y225" s="883"/>
      <c r="Z225" s="883"/>
      <c r="AA225" s="884"/>
      <c r="AB225" s="869" t="s">
        <v>749</v>
      </c>
      <c r="AC225" s="869">
        <v>1</v>
      </c>
      <c r="AD225" s="870"/>
      <c r="AE225" s="902">
        <v>25000</v>
      </c>
      <c r="AF225" s="870"/>
      <c r="AG225" s="902">
        <f t="shared" si="39"/>
        <v>25000</v>
      </c>
      <c r="AI225" s="1003"/>
    </row>
    <row r="226" spans="1:35" ht="21.9" customHeight="1" x14ac:dyDescent="0.35">
      <c r="A226" s="841"/>
      <c r="F226" s="951"/>
      <c r="G226" s="951"/>
      <c r="L226" s="877">
        <v>1.4</v>
      </c>
      <c r="M226" s="878" t="s">
        <v>453</v>
      </c>
      <c r="N226" s="879"/>
      <c r="O226" s="879"/>
      <c r="P226" s="880"/>
      <c r="Q226" s="877" t="s">
        <v>747</v>
      </c>
      <c r="R226" s="877">
        <v>1</v>
      </c>
      <c r="S226" s="878"/>
      <c r="T226" s="881">
        <v>9.3899999999999997E-2</v>
      </c>
      <c r="U226" s="878"/>
      <c r="V226" s="882">
        <f t="shared" si="38"/>
        <v>3286.5</v>
      </c>
      <c r="W226" s="869">
        <v>1.4</v>
      </c>
      <c r="X226" s="870" t="s">
        <v>454</v>
      </c>
      <c r="Y226" s="883"/>
      <c r="Z226" s="883"/>
      <c r="AA226" s="884"/>
      <c r="AB226" s="869" t="s">
        <v>749</v>
      </c>
      <c r="AC226" s="869">
        <v>0</v>
      </c>
      <c r="AD226" s="870"/>
      <c r="AE226" s="902">
        <v>0</v>
      </c>
      <c r="AF226" s="870"/>
      <c r="AG226" s="902">
        <f t="shared" si="39"/>
        <v>0</v>
      </c>
      <c r="AI226" s="1003"/>
    </row>
    <row r="227" spans="1:35" ht="21.9" customHeight="1" x14ac:dyDescent="0.35">
      <c r="A227" s="841"/>
      <c r="F227" s="951"/>
      <c r="G227" s="951"/>
      <c r="L227" s="900">
        <v>2</v>
      </c>
      <c r="M227" s="901" t="s">
        <v>455</v>
      </c>
      <c r="N227" s="879"/>
      <c r="O227" s="879"/>
      <c r="P227" s="880"/>
      <c r="Q227" s="877"/>
      <c r="R227" s="877"/>
      <c r="S227" s="878"/>
      <c r="T227" s="882">
        <v>0</v>
      </c>
      <c r="U227" s="878" t="s">
        <v>741</v>
      </c>
      <c r="V227" s="882">
        <f t="shared" si="38"/>
        <v>0</v>
      </c>
      <c r="W227" s="869">
        <v>1.5</v>
      </c>
      <c r="X227" s="870" t="s">
        <v>456</v>
      </c>
      <c r="Y227" s="883"/>
      <c r="Z227" s="883"/>
      <c r="AA227" s="884"/>
      <c r="AB227" s="869" t="s">
        <v>749</v>
      </c>
      <c r="AC227" s="869">
        <v>2</v>
      </c>
      <c r="AD227" s="870"/>
      <c r="AE227" s="902">
        <v>12000</v>
      </c>
      <c r="AF227" s="870"/>
      <c r="AG227" s="902">
        <f t="shared" si="39"/>
        <v>24000</v>
      </c>
      <c r="AI227" s="1003"/>
    </row>
    <row r="228" spans="1:35" ht="21.9" customHeight="1" x14ac:dyDescent="0.35">
      <c r="A228" s="841"/>
      <c r="F228" s="951"/>
      <c r="G228" s="951"/>
      <c r="L228" s="877">
        <v>2.1</v>
      </c>
      <c r="M228" s="878" t="s">
        <v>457</v>
      </c>
      <c r="N228" s="879"/>
      <c r="O228" s="879"/>
      <c r="P228" s="880"/>
      <c r="Q228" s="877" t="s">
        <v>747</v>
      </c>
      <c r="R228" s="877">
        <v>1</v>
      </c>
      <c r="S228" s="878"/>
      <c r="T228" s="881">
        <v>0.30449999999999999</v>
      </c>
      <c r="U228" s="878"/>
      <c r="V228" s="882">
        <f t="shared" si="38"/>
        <v>10657.5</v>
      </c>
      <c r="W228" s="869">
        <v>1.6</v>
      </c>
      <c r="X228" s="870" t="s">
        <v>458</v>
      </c>
      <c r="Y228" s="883"/>
      <c r="Z228" s="883"/>
      <c r="AA228" s="884"/>
      <c r="AB228" s="869" t="s">
        <v>749</v>
      </c>
      <c r="AC228" s="869">
        <v>1</v>
      </c>
      <c r="AD228" s="870"/>
      <c r="AE228" s="902">
        <v>6000</v>
      </c>
      <c r="AF228" s="870"/>
      <c r="AG228" s="902">
        <f t="shared" si="39"/>
        <v>6000</v>
      </c>
      <c r="AI228" s="1003"/>
    </row>
    <row r="229" spans="1:35" ht="21.9" customHeight="1" x14ac:dyDescent="0.35">
      <c r="A229" s="841"/>
      <c r="F229" s="951"/>
      <c r="G229" s="951"/>
      <c r="L229" s="877">
        <v>2.2000000000000002</v>
      </c>
      <c r="M229" s="878" t="s">
        <v>459</v>
      </c>
      <c r="N229" s="879"/>
      <c r="O229" s="879"/>
      <c r="P229" s="880"/>
      <c r="Q229" s="877" t="s">
        <v>747</v>
      </c>
      <c r="R229" s="877">
        <v>1</v>
      </c>
      <c r="S229" s="878"/>
      <c r="T229" s="881">
        <v>0.71199999999999997</v>
      </c>
      <c r="U229" s="878"/>
      <c r="V229" s="882">
        <f t="shared" si="38"/>
        <v>24920</v>
      </c>
      <c r="W229" s="869">
        <v>1.7</v>
      </c>
      <c r="X229" s="870" t="s">
        <v>460</v>
      </c>
      <c r="Y229" s="883"/>
      <c r="Z229" s="883"/>
      <c r="AA229" s="884"/>
      <c r="AB229" s="869" t="s">
        <v>749</v>
      </c>
      <c r="AC229" s="869">
        <v>1</v>
      </c>
      <c r="AD229" s="870"/>
      <c r="AE229" s="902">
        <v>10000</v>
      </c>
      <c r="AF229" s="870"/>
      <c r="AG229" s="902">
        <f t="shared" si="39"/>
        <v>10000</v>
      </c>
      <c r="AI229" s="1003"/>
    </row>
    <row r="230" spans="1:35" ht="21.9" customHeight="1" x14ac:dyDescent="0.35">
      <c r="A230" s="841"/>
      <c r="F230" s="951"/>
      <c r="G230" s="951"/>
      <c r="L230" s="877">
        <v>2.2999999999999998</v>
      </c>
      <c r="M230" s="878" t="s">
        <v>461</v>
      </c>
      <c r="N230" s="879"/>
      <c r="O230" s="879"/>
      <c r="P230" s="880"/>
      <c r="Q230" s="877" t="s">
        <v>747</v>
      </c>
      <c r="R230" s="877">
        <v>1</v>
      </c>
      <c r="S230" s="878"/>
      <c r="T230" s="881">
        <v>2.4299999999999999E-2</v>
      </c>
      <c r="U230" s="878"/>
      <c r="V230" s="882">
        <f t="shared" si="38"/>
        <v>850.5</v>
      </c>
      <c r="W230" s="869">
        <v>1.8</v>
      </c>
      <c r="X230" s="870" t="s">
        <v>462</v>
      </c>
      <c r="Y230" s="845"/>
      <c r="Z230" s="845"/>
      <c r="AA230" s="868"/>
      <c r="AB230" s="869" t="s">
        <v>749</v>
      </c>
      <c r="AC230" s="869">
        <v>1</v>
      </c>
      <c r="AD230" s="870"/>
      <c r="AE230" s="902">
        <v>8000</v>
      </c>
      <c r="AF230" s="870"/>
      <c r="AG230" s="902">
        <f t="shared" si="39"/>
        <v>8000</v>
      </c>
      <c r="AI230" s="1003"/>
    </row>
    <row r="231" spans="1:35" ht="21.9" customHeight="1" x14ac:dyDescent="0.35">
      <c r="A231" s="841"/>
      <c r="F231" s="951"/>
      <c r="G231" s="951"/>
      <c r="L231" s="877">
        <v>2.4</v>
      </c>
      <c r="M231" s="878" t="s">
        <v>463</v>
      </c>
      <c r="N231" s="879"/>
      <c r="O231" s="879"/>
      <c r="P231" s="880"/>
      <c r="Q231" s="877" t="s">
        <v>747</v>
      </c>
      <c r="R231" s="877">
        <v>1</v>
      </c>
      <c r="S231" s="878"/>
      <c r="T231" s="881">
        <v>3.5299999999999998E-2</v>
      </c>
      <c r="U231" s="878"/>
      <c r="V231" s="882">
        <f t="shared" si="38"/>
        <v>1235.5</v>
      </c>
      <c r="W231" s="869">
        <v>1.9</v>
      </c>
      <c r="X231" s="870" t="s">
        <v>464</v>
      </c>
      <c r="Y231" s="883"/>
      <c r="Z231" s="883"/>
      <c r="AA231" s="884"/>
      <c r="AB231" s="869" t="s">
        <v>749</v>
      </c>
      <c r="AC231" s="869">
        <v>0</v>
      </c>
      <c r="AD231" s="870"/>
      <c r="AE231" s="902">
        <v>0</v>
      </c>
      <c r="AF231" s="870"/>
      <c r="AG231" s="902">
        <f t="shared" si="39"/>
        <v>0</v>
      </c>
      <c r="AI231" s="1003"/>
    </row>
    <row r="232" spans="1:35" ht="21.9" customHeight="1" x14ac:dyDescent="0.35">
      <c r="A232" s="841"/>
      <c r="F232" s="951"/>
      <c r="G232" s="951"/>
      <c r="L232" s="877" t="s">
        <v>741</v>
      </c>
      <c r="M232" s="878" t="s">
        <v>741</v>
      </c>
      <c r="N232" s="879"/>
      <c r="O232" s="879"/>
      <c r="P232" s="880"/>
      <c r="Q232" s="877" t="s">
        <v>741</v>
      </c>
      <c r="R232" s="877" t="s">
        <v>741</v>
      </c>
      <c r="S232" s="878"/>
      <c r="T232" s="882">
        <v>0</v>
      </c>
      <c r="U232" s="878" t="s">
        <v>741</v>
      </c>
      <c r="V232" s="882">
        <f t="shared" si="38"/>
        <v>0</v>
      </c>
      <c r="W232" s="869" t="s">
        <v>741</v>
      </c>
      <c r="X232" s="870" t="s">
        <v>741</v>
      </c>
      <c r="Y232" s="883"/>
      <c r="Z232" s="883"/>
      <c r="AA232" s="884"/>
      <c r="AB232" s="869" t="s">
        <v>741</v>
      </c>
      <c r="AC232" s="869" t="s">
        <v>741</v>
      </c>
      <c r="AD232" s="870"/>
      <c r="AE232" s="871" t="s">
        <v>741</v>
      </c>
      <c r="AF232" s="870"/>
      <c r="AG232" s="902" t="s">
        <v>741</v>
      </c>
      <c r="AI232" s="1003"/>
    </row>
    <row r="233" spans="1:35" ht="21.9" customHeight="1" x14ac:dyDescent="0.35">
      <c r="A233" s="841"/>
      <c r="F233" s="951"/>
      <c r="G233" s="951"/>
      <c r="L233" s="877" t="s">
        <v>741</v>
      </c>
      <c r="M233" s="878" t="s">
        <v>741</v>
      </c>
      <c r="N233" s="879"/>
      <c r="O233" s="879"/>
      <c r="P233" s="880"/>
      <c r="Q233" s="877" t="s">
        <v>741</v>
      </c>
      <c r="R233" s="877" t="s">
        <v>741</v>
      </c>
      <c r="S233" s="878"/>
      <c r="T233" s="882">
        <v>0</v>
      </c>
      <c r="U233" s="878" t="s">
        <v>741</v>
      </c>
      <c r="V233" s="882">
        <f t="shared" si="38"/>
        <v>0</v>
      </c>
      <c r="W233" s="869" t="s">
        <v>741</v>
      </c>
      <c r="X233" s="870" t="s">
        <v>741</v>
      </c>
      <c r="Y233" s="883"/>
      <c r="Z233" s="883"/>
      <c r="AA233" s="884"/>
      <c r="AB233" s="869" t="s">
        <v>741</v>
      </c>
      <c r="AC233" s="869" t="s">
        <v>741</v>
      </c>
      <c r="AD233" s="870"/>
      <c r="AE233" s="871" t="s">
        <v>741</v>
      </c>
      <c r="AF233" s="870"/>
      <c r="AG233" s="902" t="s">
        <v>741</v>
      </c>
      <c r="AI233" s="1003"/>
    </row>
    <row r="234" spans="1:35" ht="21.9" customHeight="1" x14ac:dyDescent="0.35">
      <c r="A234" s="841"/>
      <c r="F234" s="951"/>
      <c r="G234" s="951"/>
      <c r="L234" s="903" t="s">
        <v>260</v>
      </c>
      <c r="M234" s="904"/>
      <c r="N234" s="904"/>
      <c r="O234" s="904"/>
      <c r="P234" s="904"/>
      <c r="Q234" s="904"/>
      <c r="R234" s="904"/>
      <c r="S234" s="904"/>
      <c r="T234" s="905"/>
      <c r="U234" s="906"/>
      <c r="V234" s="907">
        <f>SUM(V223:V233)</f>
        <v>72768.5</v>
      </c>
      <c r="W234" s="908" t="s">
        <v>260</v>
      </c>
      <c r="X234" s="909"/>
      <c r="Y234" s="909"/>
      <c r="Z234" s="909"/>
      <c r="AA234" s="909"/>
      <c r="AB234" s="909"/>
      <c r="AC234" s="909"/>
      <c r="AD234" s="909"/>
      <c r="AE234" s="910"/>
      <c r="AF234" s="911"/>
      <c r="AG234" s="912">
        <f>SUM(AG223:AG233)</f>
        <v>113000</v>
      </c>
      <c r="AI234" s="1003"/>
    </row>
    <row r="235" spans="1:35" ht="21.9" customHeight="1" x14ac:dyDescent="0.35">
      <c r="A235" s="841"/>
      <c r="F235" s="951"/>
      <c r="G235" s="951"/>
      <c r="L235" s="831"/>
      <c r="M235" s="831"/>
      <c r="N235" s="831"/>
      <c r="O235" s="831"/>
      <c r="P235" s="831"/>
      <c r="Q235" s="831"/>
      <c r="R235" s="831"/>
      <c r="S235" s="831"/>
      <c r="T235" s="831"/>
      <c r="U235" s="831"/>
      <c r="V235" s="831"/>
      <c r="W235" s="984" t="s">
        <v>741</v>
      </c>
      <c r="X235" s="862" t="s">
        <v>741</v>
      </c>
      <c r="Y235" s="862"/>
      <c r="Z235" s="862"/>
      <c r="AA235" s="862"/>
      <c r="AB235" s="984" t="s">
        <v>741</v>
      </c>
      <c r="AC235" s="984" t="s">
        <v>741</v>
      </c>
      <c r="AD235" s="862"/>
      <c r="AE235" s="985" t="s">
        <v>741</v>
      </c>
      <c r="AF235" s="862"/>
      <c r="AG235" s="985" t="s">
        <v>741</v>
      </c>
      <c r="AI235" s="1003"/>
    </row>
    <row r="236" spans="1:35" ht="21.9" customHeight="1" x14ac:dyDescent="0.35">
      <c r="A236" s="841"/>
      <c r="F236" s="951"/>
      <c r="G236" s="951"/>
      <c r="L236" s="831"/>
      <c r="M236" s="837" t="s">
        <v>445</v>
      </c>
      <c r="N236" s="837"/>
      <c r="O236" s="837"/>
      <c r="P236" s="837">
        <v>80</v>
      </c>
      <c r="Q236" s="837" t="s">
        <v>660</v>
      </c>
      <c r="R236" s="831"/>
      <c r="S236" s="838" t="s">
        <v>518</v>
      </c>
      <c r="T236" s="837">
        <f>E23</f>
        <v>20</v>
      </c>
      <c r="U236" s="839" t="s">
        <v>519</v>
      </c>
      <c r="V236" s="831"/>
      <c r="W236" s="883"/>
      <c r="X236" s="837" t="s">
        <v>446</v>
      </c>
      <c r="Y236" s="837"/>
      <c r="Z236" s="837"/>
      <c r="AA236" s="837">
        <v>80</v>
      </c>
      <c r="AB236" s="837" t="s">
        <v>660</v>
      </c>
      <c r="AC236" s="831"/>
      <c r="AD236" s="838" t="s">
        <v>518</v>
      </c>
      <c r="AE236" s="837">
        <f>E23</f>
        <v>20</v>
      </c>
      <c r="AF236" s="839" t="s">
        <v>519</v>
      </c>
      <c r="AG236" s="831"/>
      <c r="AI236" s="1003"/>
    </row>
    <row r="237" spans="1:35" ht="21.9" customHeight="1" x14ac:dyDescent="0.35">
      <c r="A237" s="841"/>
      <c r="F237" s="951"/>
      <c r="G237" s="951"/>
      <c r="L237" s="847" t="s">
        <v>522</v>
      </c>
      <c r="M237" s="848" t="s">
        <v>523</v>
      </c>
      <c r="N237" s="849"/>
      <c r="O237" s="849"/>
      <c r="P237" s="850"/>
      <c r="Q237" s="847" t="s">
        <v>524</v>
      </c>
      <c r="R237" s="847" t="s">
        <v>525</v>
      </c>
      <c r="S237" s="851" t="s">
        <v>526</v>
      </c>
      <c r="T237" s="852"/>
      <c r="U237" s="851" t="s">
        <v>527</v>
      </c>
      <c r="V237" s="852"/>
      <c r="W237" s="847" t="s">
        <v>522</v>
      </c>
      <c r="X237" s="848" t="s">
        <v>523</v>
      </c>
      <c r="Y237" s="849"/>
      <c r="Z237" s="849"/>
      <c r="AA237" s="850"/>
      <c r="AB237" s="847" t="s">
        <v>524</v>
      </c>
      <c r="AC237" s="847" t="s">
        <v>525</v>
      </c>
      <c r="AD237" s="851" t="s">
        <v>528</v>
      </c>
      <c r="AE237" s="852"/>
      <c r="AF237" s="851" t="s">
        <v>529</v>
      </c>
      <c r="AG237" s="852"/>
      <c r="AI237" s="1003"/>
    </row>
    <row r="238" spans="1:35" ht="21.9" customHeight="1" x14ac:dyDescent="0.35">
      <c r="A238" s="841"/>
      <c r="F238" s="951"/>
      <c r="G238" s="951"/>
      <c r="L238" s="854"/>
      <c r="M238" s="855"/>
      <c r="N238" s="856"/>
      <c r="O238" s="856"/>
      <c r="P238" s="857"/>
      <c r="Q238" s="854"/>
      <c r="R238" s="854"/>
      <c r="S238" s="858" t="s">
        <v>533</v>
      </c>
      <c r="T238" s="859"/>
      <c r="U238" s="858" t="s">
        <v>732</v>
      </c>
      <c r="V238" s="859"/>
      <c r="W238" s="854"/>
      <c r="X238" s="855"/>
      <c r="Y238" s="856"/>
      <c r="Z238" s="856"/>
      <c r="AA238" s="857"/>
      <c r="AB238" s="854"/>
      <c r="AC238" s="854"/>
      <c r="AD238" s="858" t="s">
        <v>733</v>
      </c>
      <c r="AE238" s="859"/>
      <c r="AF238" s="858" t="s">
        <v>732</v>
      </c>
      <c r="AG238" s="859"/>
      <c r="AI238" s="1003"/>
    </row>
    <row r="239" spans="1:35" ht="21.9" customHeight="1" x14ac:dyDescent="0.35">
      <c r="A239" s="841"/>
      <c r="F239" s="951"/>
      <c r="G239" s="951"/>
      <c r="L239" s="860">
        <v>1</v>
      </c>
      <c r="M239" s="861" t="s">
        <v>739</v>
      </c>
      <c r="N239" s="862"/>
      <c r="O239" s="862"/>
      <c r="P239" s="863"/>
      <c r="Q239" s="864"/>
      <c r="R239" s="864"/>
      <c r="S239" s="865"/>
      <c r="T239" s="863"/>
      <c r="U239" s="865"/>
      <c r="V239" s="863"/>
      <c r="W239" s="866">
        <v>1</v>
      </c>
      <c r="X239" s="867" t="s">
        <v>740</v>
      </c>
      <c r="Y239" s="845"/>
      <c r="Z239" s="845"/>
      <c r="AA239" s="868"/>
      <c r="AB239" s="869"/>
      <c r="AC239" s="869"/>
      <c r="AD239" s="870"/>
      <c r="AE239" s="871"/>
      <c r="AF239" s="870"/>
      <c r="AG239" s="872" t="s">
        <v>741</v>
      </c>
      <c r="AI239" s="1003"/>
    </row>
    <row r="240" spans="1:35" ht="21.9" customHeight="1" x14ac:dyDescent="0.35">
      <c r="A240" s="841"/>
      <c r="F240" s="951"/>
      <c r="G240" s="951"/>
      <c r="L240" s="877">
        <v>1.1000000000000001</v>
      </c>
      <c r="M240" s="878" t="s">
        <v>1437</v>
      </c>
      <c r="N240" s="879"/>
      <c r="O240" s="879"/>
      <c r="P240" s="880"/>
      <c r="Q240" s="877" t="s">
        <v>747</v>
      </c>
      <c r="R240" s="877">
        <v>1</v>
      </c>
      <c r="S240" s="878"/>
      <c r="T240" s="881">
        <v>4.1799999999999997E-2</v>
      </c>
      <c r="U240" s="878"/>
      <c r="V240" s="882">
        <f t="shared" ref="V240:V250" si="40">((($P$236*1000000)*T240)/100)/$T$236</f>
        <v>1671.9999999999995</v>
      </c>
      <c r="W240" s="869">
        <v>1.1000000000000001</v>
      </c>
      <c r="X240" s="870" t="s">
        <v>748</v>
      </c>
      <c r="Y240" s="883"/>
      <c r="Z240" s="883"/>
      <c r="AA240" s="884"/>
      <c r="AB240" s="869" t="s">
        <v>749</v>
      </c>
      <c r="AC240" s="869">
        <v>1</v>
      </c>
      <c r="AD240" s="870"/>
      <c r="AE240" s="957">
        <v>40000</v>
      </c>
      <c r="AF240" s="870"/>
      <c r="AG240" s="902">
        <f t="shared" ref="AG240:AG248" si="41">(AC240*AE240)</f>
        <v>40000</v>
      </c>
      <c r="AI240" s="1003"/>
    </row>
    <row r="241" spans="1:35" ht="21.9" customHeight="1" x14ac:dyDescent="0.35">
      <c r="A241" s="841"/>
      <c r="F241" s="951"/>
      <c r="G241" s="951"/>
      <c r="L241" s="877">
        <v>1.2</v>
      </c>
      <c r="M241" s="878" t="s">
        <v>752</v>
      </c>
      <c r="N241" s="879"/>
      <c r="O241" s="879"/>
      <c r="P241" s="880"/>
      <c r="Q241" s="877" t="s">
        <v>747</v>
      </c>
      <c r="R241" s="877">
        <v>1</v>
      </c>
      <c r="S241" s="878"/>
      <c r="T241" s="881">
        <v>0.85729999999999995</v>
      </c>
      <c r="U241" s="878"/>
      <c r="V241" s="882">
        <f t="shared" si="40"/>
        <v>34292</v>
      </c>
      <c r="W241" s="869">
        <v>1.2</v>
      </c>
      <c r="X241" s="870" t="s">
        <v>753</v>
      </c>
      <c r="Y241" s="883"/>
      <c r="Z241" s="883"/>
      <c r="AA241" s="884"/>
      <c r="AB241" s="869" t="s">
        <v>749</v>
      </c>
      <c r="AC241" s="869">
        <v>0</v>
      </c>
      <c r="AD241" s="870"/>
      <c r="AE241" s="902">
        <v>0</v>
      </c>
      <c r="AF241" s="870"/>
      <c r="AG241" s="902">
        <f t="shared" si="41"/>
        <v>0</v>
      </c>
      <c r="AI241" s="1003"/>
    </row>
    <row r="242" spans="1:35" ht="21.9" customHeight="1" x14ac:dyDescent="0.35">
      <c r="A242" s="841"/>
      <c r="F242" s="951"/>
      <c r="G242" s="951"/>
      <c r="L242" s="877">
        <v>1.3</v>
      </c>
      <c r="M242" s="878" t="s">
        <v>754</v>
      </c>
      <c r="N242" s="879"/>
      <c r="O242" s="879"/>
      <c r="P242" s="880"/>
      <c r="Q242" s="877" t="s">
        <v>747</v>
      </c>
      <c r="R242" s="898">
        <v>1</v>
      </c>
      <c r="S242" s="878"/>
      <c r="T242" s="881">
        <v>0.01</v>
      </c>
      <c r="U242" s="878"/>
      <c r="V242" s="882">
        <f t="shared" si="40"/>
        <v>400</v>
      </c>
      <c r="W242" s="869">
        <v>1.3</v>
      </c>
      <c r="X242" s="870" t="s">
        <v>755</v>
      </c>
      <c r="Y242" s="883"/>
      <c r="Z242" s="883"/>
      <c r="AA242" s="884"/>
      <c r="AB242" s="869" t="s">
        <v>749</v>
      </c>
      <c r="AC242" s="869">
        <v>1</v>
      </c>
      <c r="AD242" s="870"/>
      <c r="AE242" s="902">
        <v>25000</v>
      </c>
      <c r="AF242" s="870"/>
      <c r="AG242" s="902">
        <f t="shared" si="41"/>
        <v>25000</v>
      </c>
      <c r="AI242" s="1003"/>
    </row>
    <row r="243" spans="1:35" ht="21.9" customHeight="1" x14ac:dyDescent="0.35">
      <c r="A243" s="841"/>
      <c r="F243" s="951"/>
      <c r="G243" s="951"/>
      <c r="L243" s="877">
        <v>1.4</v>
      </c>
      <c r="M243" s="878" t="s">
        <v>453</v>
      </c>
      <c r="N243" s="879"/>
      <c r="O243" s="879"/>
      <c r="P243" s="880"/>
      <c r="Q243" s="877" t="s">
        <v>747</v>
      </c>
      <c r="R243" s="877">
        <v>1</v>
      </c>
      <c r="S243" s="878"/>
      <c r="T243" s="881">
        <v>9.3899999999999997E-2</v>
      </c>
      <c r="U243" s="878"/>
      <c r="V243" s="882">
        <f t="shared" si="40"/>
        <v>3756</v>
      </c>
      <c r="W243" s="869">
        <v>1.4</v>
      </c>
      <c r="X243" s="870" t="s">
        <v>454</v>
      </c>
      <c r="Y243" s="883"/>
      <c r="Z243" s="883"/>
      <c r="AA243" s="884"/>
      <c r="AB243" s="869" t="s">
        <v>749</v>
      </c>
      <c r="AC243" s="869">
        <v>0</v>
      </c>
      <c r="AD243" s="870"/>
      <c r="AE243" s="902">
        <v>0</v>
      </c>
      <c r="AF243" s="870"/>
      <c r="AG243" s="902">
        <f t="shared" si="41"/>
        <v>0</v>
      </c>
      <c r="AI243" s="1003"/>
    </row>
    <row r="244" spans="1:35" ht="21.9" customHeight="1" x14ac:dyDescent="0.35">
      <c r="A244" s="841"/>
      <c r="F244" s="951"/>
      <c r="G244" s="951"/>
      <c r="L244" s="900">
        <v>2</v>
      </c>
      <c r="M244" s="901" t="s">
        <v>455</v>
      </c>
      <c r="N244" s="879"/>
      <c r="O244" s="879"/>
      <c r="P244" s="880"/>
      <c r="Q244" s="877"/>
      <c r="R244" s="877"/>
      <c r="S244" s="878"/>
      <c r="T244" s="882">
        <v>0</v>
      </c>
      <c r="U244" s="878"/>
      <c r="V244" s="882">
        <f t="shared" si="40"/>
        <v>0</v>
      </c>
      <c r="W244" s="869">
        <v>1.5</v>
      </c>
      <c r="X244" s="870" t="s">
        <v>456</v>
      </c>
      <c r="Y244" s="883"/>
      <c r="Z244" s="883"/>
      <c r="AA244" s="884"/>
      <c r="AB244" s="869" t="s">
        <v>749</v>
      </c>
      <c r="AC244" s="869">
        <v>2</v>
      </c>
      <c r="AD244" s="870"/>
      <c r="AE244" s="902">
        <v>12000</v>
      </c>
      <c r="AF244" s="870"/>
      <c r="AG244" s="902">
        <f t="shared" si="41"/>
        <v>24000</v>
      </c>
      <c r="AI244" s="1003"/>
    </row>
    <row r="245" spans="1:35" ht="21.9" customHeight="1" x14ac:dyDescent="0.35">
      <c r="A245" s="841"/>
      <c r="F245" s="951"/>
      <c r="G245" s="951"/>
      <c r="L245" s="877">
        <v>2.1</v>
      </c>
      <c r="M245" s="878" t="s">
        <v>457</v>
      </c>
      <c r="N245" s="879"/>
      <c r="O245" s="879"/>
      <c r="P245" s="880"/>
      <c r="Q245" s="877" t="s">
        <v>747</v>
      </c>
      <c r="R245" s="877">
        <v>1</v>
      </c>
      <c r="S245" s="878"/>
      <c r="T245" s="881">
        <v>0.30449999999999999</v>
      </c>
      <c r="U245" s="878"/>
      <c r="V245" s="882">
        <f t="shared" si="40"/>
        <v>12180</v>
      </c>
      <c r="W245" s="869">
        <v>1.6</v>
      </c>
      <c r="X245" s="870" t="s">
        <v>458</v>
      </c>
      <c r="Y245" s="883"/>
      <c r="Z245" s="883"/>
      <c r="AA245" s="884"/>
      <c r="AB245" s="869" t="s">
        <v>749</v>
      </c>
      <c r="AC245" s="869">
        <v>1</v>
      </c>
      <c r="AD245" s="870"/>
      <c r="AE245" s="902">
        <v>6000</v>
      </c>
      <c r="AF245" s="870"/>
      <c r="AG245" s="902">
        <f t="shared" si="41"/>
        <v>6000</v>
      </c>
      <c r="AI245" s="1003"/>
    </row>
    <row r="246" spans="1:35" ht="21.9" customHeight="1" x14ac:dyDescent="0.35">
      <c r="A246" s="841"/>
      <c r="F246" s="951"/>
      <c r="G246" s="951"/>
      <c r="L246" s="877">
        <v>2.2000000000000002</v>
      </c>
      <c r="M246" s="878" t="s">
        <v>459</v>
      </c>
      <c r="N246" s="879"/>
      <c r="O246" s="879"/>
      <c r="P246" s="880"/>
      <c r="Q246" s="877" t="s">
        <v>747</v>
      </c>
      <c r="R246" s="877">
        <v>1</v>
      </c>
      <c r="S246" s="878"/>
      <c r="T246" s="881">
        <v>0.71199999999999997</v>
      </c>
      <c r="U246" s="878"/>
      <c r="V246" s="882">
        <f t="shared" si="40"/>
        <v>28480</v>
      </c>
      <c r="W246" s="869">
        <v>1.7</v>
      </c>
      <c r="X246" s="870" t="s">
        <v>460</v>
      </c>
      <c r="Y246" s="883"/>
      <c r="Z246" s="883"/>
      <c r="AA246" s="884"/>
      <c r="AB246" s="869" t="s">
        <v>749</v>
      </c>
      <c r="AC246" s="869">
        <v>1</v>
      </c>
      <c r="AD246" s="870"/>
      <c r="AE246" s="902">
        <v>10000</v>
      </c>
      <c r="AF246" s="870"/>
      <c r="AG246" s="902">
        <f t="shared" si="41"/>
        <v>10000</v>
      </c>
      <c r="AI246" s="1003"/>
    </row>
    <row r="247" spans="1:35" ht="21.9" customHeight="1" x14ac:dyDescent="0.35">
      <c r="A247" s="841"/>
      <c r="F247" s="951"/>
      <c r="G247" s="951"/>
      <c r="L247" s="877">
        <v>2.2999999999999998</v>
      </c>
      <c r="M247" s="878" t="s">
        <v>461</v>
      </c>
      <c r="N247" s="879"/>
      <c r="O247" s="879"/>
      <c r="P247" s="880"/>
      <c r="Q247" s="877" t="s">
        <v>747</v>
      </c>
      <c r="R247" s="877">
        <v>1</v>
      </c>
      <c r="S247" s="878"/>
      <c r="T247" s="881">
        <v>2.4299999999999999E-2</v>
      </c>
      <c r="U247" s="878"/>
      <c r="V247" s="882">
        <f t="shared" si="40"/>
        <v>972</v>
      </c>
      <c r="W247" s="869">
        <v>1.8</v>
      </c>
      <c r="X247" s="870" t="s">
        <v>462</v>
      </c>
      <c r="Y247" s="845"/>
      <c r="Z247" s="845"/>
      <c r="AA247" s="868"/>
      <c r="AB247" s="869" t="s">
        <v>749</v>
      </c>
      <c r="AC247" s="869">
        <v>1</v>
      </c>
      <c r="AD247" s="870"/>
      <c r="AE247" s="902">
        <v>8000</v>
      </c>
      <c r="AF247" s="870"/>
      <c r="AG247" s="902">
        <f t="shared" si="41"/>
        <v>8000</v>
      </c>
      <c r="AI247" s="1003"/>
    </row>
    <row r="248" spans="1:35" ht="21.9" customHeight="1" x14ac:dyDescent="0.35">
      <c r="A248" s="841"/>
      <c r="F248" s="951"/>
      <c r="G248" s="951"/>
      <c r="L248" s="877">
        <v>2.4</v>
      </c>
      <c r="M248" s="878" t="s">
        <v>463</v>
      </c>
      <c r="N248" s="879"/>
      <c r="O248" s="879"/>
      <c r="P248" s="880"/>
      <c r="Q248" s="877" t="s">
        <v>747</v>
      </c>
      <c r="R248" s="877">
        <v>1</v>
      </c>
      <c r="S248" s="878"/>
      <c r="T248" s="881">
        <v>3.5299999999999998E-2</v>
      </c>
      <c r="U248" s="878"/>
      <c r="V248" s="882">
        <f t="shared" si="40"/>
        <v>1412</v>
      </c>
      <c r="W248" s="869">
        <v>1.9</v>
      </c>
      <c r="X248" s="870" t="s">
        <v>464</v>
      </c>
      <c r="Y248" s="883"/>
      <c r="Z248" s="883"/>
      <c r="AA248" s="884"/>
      <c r="AB248" s="869" t="s">
        <v>749</v>
      </c>
      <c r="AC248" s="869">
        <v>0</v>
      </c>
      <c r="AD248" s="870"/>
      <c r="AE248" s="902">
        <v>0</v>
      </c>
      <c r="AF248" s="870"/>
      <c r="AG248" s="902">
        <f t="shared" si="41"/>
        <v>0</v>
      </c>
      <c r="AI248" s="1003"/>
    </row>
    <row r="249" spans="1:35" ht="21.9" customHeight="1" x14ac:dyDescent="0.35">
      <c r="A249" s="841"/>
      <c r="F249" s="951"/>
      <c r="G249" s="951"/>
      <c r="L249" s="877" t="s">
        <v>741</v>
      </c>
      <c r="M249" s="878" t="s">
        <v>741</v>
      </c>
      <c r="N249" s="879"/>
      <c r="O249" s="879"/>
      <c r="P249" s="880"/>
      <c r="Q249" s="877" t="s">
        <v>741</v>
      </c>
      <c r="R249" s="877" t="s">
        <v>741</v>
      </c>
      <c r="S249" s="878"/>
      <c r="T249" s="882">
        <v>0</v>
      </c>
      <c r="U249" s="878" t="s">
        <v>741</v>
      </c>
      <c r="V249" s="882">
        <f t="shared" si="40"/>
        <v>0</v>
      </c>
      <c r="W249" s="869" t="s">
        <v>741</v>
      </c>
      <c r="X249" s="870" t="s">
        <v>741</v>
      </c>
      <c r="Y249" s="845"/>
      <c r="Z249" s="845"/>
      <c r="AA249" s="868"/>
      <c r="AB249" s="869" t="s">
        <v>741</v>
      </c>
      <c r="AC249" s="869" t="s">
        <v>741</v>
      </c>
      <c r="AD249" s="870"/>
      <c r="AE249" s="871"/>
      <c r="AF249" s="870"/>
      <c r="AG249" s="902" t="s">
        <v>741</v>
      </c>
      <c r="AI249" s="1003"/>
    </row>
    <row r="250" spans="1:35" ht="21.9" customHeight="1" x14ac:dyDescent="0.35">
      <c r="A250" s="841"/>
      <c r="F250" s="951"/>
      <c r="G250" s="951"/>
      <c r="L250" s="877" t="s">
        <v>741</v>
      </c>
      <c r="M250" s="878" t="s">
        <v>741</v>
      </c>
      <c r="N250" s="879"/>
      <c r="O250" s="879"/>
      <c r="P250" s="880"/>
      <c r="Q250" s="877" t="s">
        <v>741</v>
      </c>
      <c r="R250" s="877" t="s">
        <v>741</v>
      </c>
      <c r="S250" s="878"/>
      <c r="T250" s="882">
        <v>0</v>
      </c>
      <c r="U250" s="878" t="s">
        <v>741</v>
      </c>
      <c r="V250" s="882">
        <f t="shared" si="40"/>
        <v>0</v>
      </c>
      <c r="W250" s="869" t="s">
        <v>741</v>
      </c>
      <c r="X250" s="870" t="s">
        <v>741</v>
      </c>
      <c r="Y250" s="883"/>
      <c r="Z250" s="883"/>
      <c r="AA250" s="884"/>
      <c r="AB250" s="869" t="s">
        <v>741</v>
      </c>
      <c r="AC250" s="869" t="s">
        <v>741</v>
      </c>
      <c r="AD250" s="870"/>
      <c r="AE250" s="871" t="s">
        <v>741</v>
      </c>
      <c r="AF250" s="870"/>
      <c r="AG250" s="902" t="s">
        <v>741</v>
      </c>
      <c r="AI250" s="1003"/>
    </row>
    <row r="251" spans="1:35" ht="21.9" customHeight="1" x14ac:dyDescent="0.35">
      <c r="A251" s="841"/>
      <c r="F251" s="951"/>
      <c r="G251" s="951"/>
      <c r="L251" s="903" t="s">
        <v>260</v>
      </c>
      <c r="M251" s="904"/>
      <c r="N251" s="904"/>
      <c r="O251" s="904"/>
      <c r="P251" s="904"/>
      <c r="Q251" s="904"/>
      <c r="R251" s="904"/>
      <c r="S251" s="904"/>
      <c r="T251" s="905"/>
      <c r="U251" s="906"/>
      <c r="V251" s="907">
        <f>SUM(V239:V250)</f>
        <v>83164</v>
      </c>
      <c r="W251" s="908" t="s">
        <v>260</v>
      </c>
      <c r="X251" s="909"/>
      <c r="Y251" s="909"/>
      <c r="Z251" s="909"/>
      <c r="AA251" s="909"/>
      <c r="AB251" s="909"/>
      <c r="AC251" s="909"/>
      <c r="AD251" s="909"/>
      <c r="AE251" s="910"/>
      <c r="AF251" s="911"/>
      <c r="AG251" s="912">
        <f>SUM(AG240:AG250)</f>
        <v>113000</v>
      </c>
      <c r="AI251" s="1003"/>
    </row>
    <row r="252" spans="1:35" ht="21.9" customHeight="1" x14ac:dyDescent="0.35">
      <c r="A252" s="841"/>
      <c r="F252" s="951"/>
      <c r="G252" s="951"/>
      <c r="L252" s="831"/>
      <c r="M252" s="831"/>
      <c r="N252" s="831"/>
      <c r="O252" s="831"/>
      <c r="P252" s="831"/>
      <c r="Q252" s="831"/>
      <c r="R252" s="831"/>
      <c r="S252" s="831"/>
      <c r="T252" s="831"/>
      <c r="U252" s="831"/>
      <c r="V252" s="831"/>
      <c r="AI252" s="1003"/>
    </row>
    <row r="253" spans="1:35" ht="21.9" customHeight="1" x14ac:dyDescent="0.35">
      <c r="A253" s="841"/>
      <c r="F253" s="951"/>
      <c r="G253" s="951"/>
      <c r="L253" s="930" t="s">
        <v>447</v>
      </c>
      <c r="M253" s="930"/>
      <c r="N253" s="930"/>
      <c r="O253" s="930"/>
      <c r="P253" s="930"/>
      <c r="Q253" s="930"/>
      <c r="R253" s="930"/>
      <c r="S253" s="930"/>
      <c r="T253" s="930"/>
      <c r="U253" s="930"/>
      <c r="V253" s="930"/>
      <c r="W253" s="828" t="s">
        <v>448</v>
      </c>
      <c r="X253" s="828"/>
      <c r="Y253" s="828"/>
      <c r="Z253" s="828"/>
      <c r="AA253" s="828"/>
      <c r="AB253" s="828"/>
      <c r="AC253" s="828"/>
      <c r="AD253" s="828"/>
      <c r="AE253" s="828"/>
      <c r="AF253" s="828"/>
      <c r="AG253" s="828"/>
      <c r="AI253" s="1003"/>
    </row>
    <row r="254" spans="1:35" ht="21.9" customHeight="1" x14ac:dyDescent="0.35">
      <c r="A254" s="841"/>
      <c r="F254" s="951"/>
      <c r="G254" s="951"/>
      <c r="L254" s="831"/>
      <c r="M254" s="831"/>
      <c r="N254" s="831"/>
      <c r="O254" s="831"/>
      <c r="P254" s="831"/>
      <c r="Q254" s="831"/>
      <c r="R254" s="831"/>
      <c r="S254" s="831"/>
      <c r="T254" s="831"/>
      <c r="U254" s="831"/>
      <c r="V254" s="831"/>
      <c r="AI254" s="1003"/>
    </row>
    <row r="255" spans="1:35" ht="21.9" customHeight="1" x14ac:dyDescent="0.35">
      <c r="A255" s="841"/>
      <c r="F255" s="951"/>
      <c r="G255" s="951"/>
      <c r="L255" s="1004"/>
      <c r="M255" s="1005" t="s">
        <v>449</v>
      </c>
      <c r="N255" s="1005"/>
      <c r="O255" s="1005"/>
      <c r="P255" s="1005">
        <v>90</v>
      </c>
      <c r="Q255" s="1005" t="s">
        <v>660</v>
      </c>
      <c r="R255" s="1004"/>
      <c r="S255" s="1006" t="s">
        <v>518</v>
      </c>
      <c r="T255" s="1005">
        <f>E24</f>
        <v>20</v>
      </c>
      <c r="U255" s="1007" t="s">
        <v>519</v>
      </c>
      <c r="V255" s="1004"/>
      <c r="X255" s="840" t="s">
        <v>566</v>
      </c>
      <c r="Y255" s="840"/>
      <c r="Z255" s="840"/>
      <c r="AA255" s="840">
        <v>90</v>
      </c>
      <c r="AB255" s="840" t="s">
        <v>660</v>
      </c>
      <c r="AD255" s="838" t="s">
        <v>518</v>
      </c>
      <c r="AE255" s="837">
        <f>E24</f>
        <v>20</v>
      </c>
      <c r="AF255" s="839" t="s">
        <v>519</v>
      </c>
      <c r="AI255" s="1003"/>
    </row>
    <row r="256" spans="1:35" ht="21.9" customHeight="1" x14ac:dyDescent="0.35">
      <c r="A256" s="841"/>
      <c r="F256" s="951"/>
      <c r="G256" s="951"/>
      <c r="L256" s="847" t="s">
        <v>522</v>
      </c>
      <c r="M256" s="848" t="s">
        <v>523</v>
      </c>
      <c r="N256" s="849"/>
      <c r="O256" s="849"/>
      <c r="P256" s="850"/>
      <c r="Q256" s="847" t="s">
        <v>524</v>
      </c>
      <c r="R256" s="847" t="s">
        <v>525</v>
      </c>
      <c r="S256" s="851" t="s">
        <v>526</v>
      </c>
      <c r="T256" s="852"/>
      <c r="U256" s="851" t="s">
        <v>527</v>
      </c>
      <c r="V256" s="852"/>
      <c r="W256" s="847" t="s">
        <v>522</v>
      </c>
      <c r="X256" s="848" t="s">
        <v>523</v>
      </c>
      <c r="Y256" s="849"/>
      <c r="Z256" s="849"/>
      <c r="AA256" s="850"/>
      <c r="AB256" s="847" t="s">
        <v>524</v>
      </c>
      <c r="AC256" s="847" t="s">
        <v>525</v>
      </c>
      <c r="AD256" s="851" t="s">
        <v>528</v>
      </c>
      <c r="AE256" s="852"/>
      <c r="AF256" s="851" t="s">
        <v>529</v>
      </c>
      <c r="AG256" s="852"/>
      <c r="AI256" s="1003"/>
    </row>
    <row r="257" spans="1:35" ht="21.9" customHeight="1" x14ac:dyDescent="0.35">
      <c r="A257" s="841"/>
      <c r="F257" s="951"/>
      <c r="G257" s="951"/>
      <c r="L257" s="854"/>
      <c r="M257" s="855"/>
      <c r="N257" s="856"/>
      <c r="O257" s="856"/>
      <c r="P257" s="857"/>
      <c r="Q257" s="854"/>
      <c r="R257" s="854"/>
      <c r="S257" s="858" t="s">
        <v>533</v>
      </c>
      <c r="T257" s="859"/>
      <c r="U257" s="858" t="s">
        <v>732</v>
      </c>
      <c r="V257" s="859"/>
      <c r="W257" s="854"/>
      <c r="X257" s="855"/>
      <c r="Y257" s="856"/>
      <c r="Z257" s="856"/>
      <c r="AA257" s="857"/>
      <c r="AB257" s="854"/>
      <c r="AC257" s="854"/>
      <c r="AD257" s="858" t="s">
        <v>733</v>
      </c>
      <c r="AE257" s="859"/>
      <c r="AF257" s="858" t="s">
        <v>732</v>
      </c>
      <c r="AG257" s="859"/>
      <c r="AI257" s="1003"/>
    </row>
    <row r="258" spans="1:35" ht="21.9" customHeight="1" x14ac:dyDescent="0.35">
      <c r="A258" s="841"/>
      <c r="F258" s="951"/>
      <c r="G258" s="951"/>
      <c r="L258" s="860">
        <v>1</v>
      </c>
      <c r="M258" s="861" t="s">
        <v>739</v>
      </c>
      <c r="N258" s="862"/>
      <c r="O258" s="862"/>
      <c r="P258" s="863"/>
      <c r="Q258" s="864"/>
      <c r="R258" s="864"/>
      <c r="S258" s="865"/>
      <c r="T258" s="863"/>
      <c r="U258" s="865"/>
      <c r="V258" s="863"/>
      <c r="W258" s="866">
        <v>1</v>
      </c>
      <c r="X258" s="867" t="s">
        <v>740</v>
      </c>
      <c r="Y258" s="845"/>
      <c r="Z258" s="845"/>
      <c r="AA258" s="868"/>
      <c r="AB258" s="869"/>
      <c r="AC258" s="869"/>
      <c r="AD258" s="870"/>
      <c r="AE258" s="871"/>
      <c r="AF258" s="870"/>
      <c r="AG258" s="872" t="s">
        <v>741</v>
      </c>
      <c r="AI258" s="1003"/>
    </row>
    <row r="259" spans="1:35" ht="21.9" customHeight="1" x14ac:dyDescent="0.35">
      <c r="A259" s="841"/>
      <c r="F259" s="951"/>
      <c r="G259" s="951"/>
      <c r="L259" s="877">
        <v>1.1000000000000001</v>
      </c>
      <c r="M259" s="878" t="s">
        <v>1437</v>
      </c>
      <c r="N259" s="879"/>
      <c r="O259" s="879"/>
      <c r="P259" s="880"/>
      <c r="Q259" s="877" t="s">
        <v>747</v>
      </c>
      <c r="R259" s="877">
        <v>1</v>
      </c>
      <c r="S259" s="878"/>
      <c r="T259" s="881">
        <v>4.0300000000000002E-2</v>
      </c>
      <c r="U259" s="878"/>
      <c r="V259" s="882">
        <f t="shared" ref="V259:V269" si="42">((($P$255*1000000)*T259)/100)/$T$255</f>
        <v>1813.5</v>
      </c>
      <c r="W259" s="869">
        <v>1.1000000000000001</v>
      </c>
      <c r="X259" s="870" t="s">
        <v>748</v>
      </c>
      <c r="Y259" s="883"/>
      <c r="Z259" s="883"/>
      <c r="AA259" s="884"/>
      <c r="AB259" s="869" t="s">
        <v>749</v>
      </c>
      <c r="AC259" s="869">
        <v>1</v>
      </c>
      <c r="AD259" s="870"/>
      <c r="AE259" s="957">
        <v>40000</v>
      </c>
      <c r="AF259" s="870"/>
      <c r="AG259" s="902">
        <f t="shared" ref="AG259:AG267" si="43">(AC259*AE259)</f>
        <v>40000</v>
      </c>
      <c r="AI259" s="1003"/>
    </row>
    <row r="260" spans="1:35" ht="21.9" customHeight="1" x14ac:dyDescent="0.35">
      <c r="A260" s="841"/>
      <c r="F260" s="951"/>
      <c r="G260" s="951"/>
      <c r="L260" s="877">
        <v>1.2</v>
      </c>
      <c r="M260" s="878" t="s">
        <v>752</v>
      </c>
      <c r="N260" s="879"/>
      <c r="O260" s="879"/>
      <c r="P260" s="880"/>
      <c r="Q260" s="877" t="s">
        <v>747</v>
      </c>
      <c r="R260" s="877">
        <v>1</v>
      </c>
      <c r="S260" s="878"/>
      <c r="T260" s="881">
        <v>0.62419999999999998</v>
      </c>
      <c r="U260" s="878"/>
      <c r="V260" s="882">
        <f t="shared" si="42"/>
        <v>28089</v>
      </c>
      <c r="W260" s="869">
        <v>1.2</v>
      </c>
      <c r="X260" s="870" t="s">
        <v>753</v>
      </c>
      <c r="Y260" s="883"/>
      <c r="Z260" s="883"/>
      <c r="AA260" s="884"/>
      <c r="AB260" s="869" t="s">
        <v>749</v>
      </c>
      <c r="AC260" s="869">
        <v>0</v>
      </c>
      <c r="AD260" s="870"/>
      <c r="AE260" s="902">
        <v>0</v>
      </c>
      <c r="AF260" s="870"/>
      <c r="AG260" s="902">
        <f t="shared" si="43"/>
        <v>0</v>
      </c>
      <c r="AI260" s="1003"/>
    </row>
    <row r="261" spans="1:35" ht="21.9" customHeight="1" x14ac:dyDescent="0.35">
      <c r="A261" s="841"/>
      <c r="F261" s="951"/>
      <c r="G261" s="951"/>
      <c r="L261" s="877">
        <v>1.3</v>
      </c>
      <c r="M261" s="878" t="s">
        <v>754</v>
      </c>
      <c r="N261" s="879"/>
      <c r="O261" s="879"/>
      <c r="P261" s="880"/>
      <c r="Q261" s="877" t="s">
        <v>747</v>
      </c>
      <c r="R261" s="898">
        <v>1</v>
      </c>
      <c r="S261" s="878"/>
      <c r="T261" s="881">
        <v>0.01</v>
      </c>
      <c r="U261" s="878"/>
      <c r="V261" s="882">
        <f t="shared" si="42"/>
        <v>450</v>
      </c>
      <c r="W261" s="869">
        <v>1.3</v>
      </c>
      <c r="X261" s="870" t="s">
        <v>755</v>
      </c>
      <c r="Y261" s="883"/>
      <c r="Z261" s="883"/>
      <c r="AA261" s="884"/>
      <c r="AB261" s="869" t="s">
        <v>749</v>
      </c>
      <c r="AC261" s="869">
        <v>1</v>
      </c>
      <c r="AD261" s="870"/>
      <c r="AE261" s="902">
        <v>25000</v>
      </c>
      <c r="AF261" s="870"/>
      <c r="AG261" s="902">
        <f t="shared" si="43"/>
        <v>25000</v>
      </c>
      <c r="AI261" s="1003"/>
    </row>
    <row r="262" spans="1:35" ht="21.9" customHeight="1" x14ac:dyDescent="0.35">
      <c r="A262" s="841"/>
      <c r="F262" s="951"/>
      <c r="G262" s="951"/>
      <c r="L262" s="877">
        <v>1.4</v>
      </c>
      <c r="M262" s="878" t="s">
        <v>453</v>
      </c>
      <c r="N262" s="879"/>
      <c r="O262" s="879"/>
      <c r="P262" s="880"/>
      <c r="Q262" s="877" t="s">
        <v>747</v>
      </c>
      <c r="R262" s="877">
        <v>1</v>
      </c>
      <c r="S262" s="878"/>
      <c r="T262" s="881">
        <v>9.3899999999999997E-2</v>
      </c>
      <c r="U262" s="878"/>
      <c r="V262" s="882">
        <f t="shared" si="42"/>
        <v>4225.5</v>
      </c>
      <c r="W262" s="869">
        <v>1.4</v>
      </c>
      <c r="X262" s="870" t="s">
        <v>454</v>
      </c>
      <c r="Y262" s="883"/>
      <c r="Z262" s="883"/>
      <c r="AA262" s="884"/>
      <c r="AB262" s="869" t="s">
        <v>749</v>
      </c>
      <c r="AC262" s="869">
        <v>0</v>
      </c>
      <c r="AD262" s="870"/>
      <c r="AE262" s="902">
        <v>0</v>
      </c>
      <c r="AF262" s="870"/>
      <c r="AG262" s="902">
        <f t="shared" si="43"/>
        <v>0</v>
      </c>
      <c r="AI262" s="1003"/>
    </row>
    <row r="263" spans="1:35" ht="21.9" customHeight="1" x14ac:dyDescent="0.35">
      <c r="A263" s="841"/>
      <c r="F263" s="951"/>
      <c r="G263" s="951"/>
      <c r="L263" s="900">
        <v>2</v>
      </c>
      <c r="M263" s="901" t="s">
        <v>455</v>
      </c>
      <c r="N263" s="879"/>
      <c r="O263" s="879"/>
      <c r="P263" s="880"/>
      <c r="Q263" s="877"/>
      <c r="R263" s="877"/>
      <c r="S263" s="878"/>
      <c r="T263" s="882">
        <v>0</v>
      </c>
      <c r="U263" s="878"/>
      <c r="V263" s="882">
        <f t="shared" si="42"/>
        <v>0</v>
      </c>
      <c r="W263" s="869">
        <v>1.5</v>
      </c>
      <c r="X263" s="870" t="s">
        <v>456</v>
      </c>
      <c r="Y263" s="883"/>
      <c r="Z263" s="883"/>
      <c r="AA263" s="884"/>
      <c r="AB263" s="869" t="s">
        <v>749</v>
      </c>
      <c r="AC263" s="869">
        <v>2</v>
      </c>
      <c r="AD263" s="870"/>
      <c r="AE263" s="902">
        <v>12000</v>
      </c>
      <c r="AF263" s="870"/>
      <c r="AG263" s="902">
        <f t="shared" si="43"/>
        <v>24000</v>
      </c>
      <c r="AI263" s="1003"/>
    </row>
    <row r="264" spans="1:35" ht="21.9" customHeight="1" x14ac:dyDescent="0.35">
      <c r="A264" s="841"/>
      <c r="F264" s="951"/>
      <c r="G264" s="951"/>
      <c r="L264" s="877">
        <v>2.1</v>
      </c>
      <c r="M264" s="878" t="s">
        <v>457</v>
      </c>
      <c r="N264" s="879"/>
      <c r="O264" s="879"/>
      <c r="P264" s="880"/>
      <c r="Q264" s="877" t="s">
        <v>747</v>
      </c>
      <c r="R264" s="877">
        <v>1</v>
      </c>
      <c r="S264" s="878"/>
      <c r="T264" s="881">
        <v>0.30449999999999999</v>
      </c>
      <c r="U264" s="878"/>
      <c r="V264" s="882">
        <f t="shared" si="42"/>
        <v>13702.5</v>
      </c>
      <c r="W264" s="869">
        <v>1.6</v>
      </c>
      <c r="X264" s="870" t="s">
        <v>458</v>
      </c>
      <c r="Y264" s="883"/>
      <c r="Z264" s="883"/>
      <c r="AA264" s="884"/>
      <c r="AB264" s="869" t="s">
        <v>749</v>
      </c>
      <c r="AC264" s="869">
        <v>1</v>
      </c>
      <c r="AD264" s="870"/>
      <c r="AE264" s="902">
        <v>6000</v>
      </c>
      <c r="AF264" s="870"/>
      <c r="AG264" s="902">
        <f t="shared" si="43"/>
        <v>6000</v>
      </c>
      <c r="AI264" s="1003"/>
    </row>
    <row r="265" spans="1:35" ht="21.9" customHeight="1" x14ac:dyDescent="0.35">
      <c r="A265" s="841"/>
      <c r="F265" s="951"/>
      <c r="G265" s="951"/>
      <c r="L265" s="877">
        <v>2.2000000000000002</v>
      </c>
      <c r="M265" s="878" t="s">
        <v>459</v>
      </c>
      <c r="N265" s="879"/>
      <c r="O265" s="879"/>
      <c r="P265" s="880"/>
      <c r="Q265" s="877" t="s">
        <v>747</v>
      </c>
      <c r="R265" s="877">
        <v>1</v>
      </c>
      <c r="S265" s="878"/>
      <c r="T265" s="881">
        <v>0.71199999999999997</v>
      </c>
      <c r="U265" s="878"/>
      <c r="V265" s="882">
        <f t="shared" si="42"/>
        <v>32040</v>
      </c>
      <c r="W265" s="869">
        <v>1.7</v>
      </c>
      <c r="X265" s="870" t="s">
        <v>460</v>
      </c>
      <c r="Y265" s="883"/>
      <c r="Z265" s="883"/>
      <c r="AA265" s="884"/>
      <c r="AB265" s="869" t="s">
        <v>749</v>
      </c>
      <c r="AC265" s="869">
        <v>1</v>
      </c>
      <c r="AD265" s="870"/>
      <c r="AE265" s="902">
        <v>10000</v>
      </c>
      <c r="AF265" s="870"/>
      <c r="AG265" s="902">
        <f t="shared" si="43"/>
        <v>10000</v>
      </c>
      <c r="AI265" s="1003"/>
    </row>
    <row r="266" spans="1:35" ht="21.9" customHeight="1" x14ac:dyDescent="0.35">
      <c r="A266" s="841"/>
      <c r="F266" s="951"/>
      <c r="G266" s="951"/>
      <c r="L266" s="877">
        <v>2.2999999999999998</v>
      </c>
      <c r="M266" s="878" t="s">
        <v>461</v>
      </c>
      <c r="N266" s="879"/>
      <c r="O266" s="879"/>
      <c r="P266" s="880"/>
      <c r="Q266" s="877" t="s">
        <v>747</v>
      </c>
      <c r="R266" s="877">
        <v>1</v>
      </c>
      <c r="S266" s="878"/>
      <c r="T266" s="881">
        <v>2.4299999999999999E-2</v>
      </c>
      <c r="U266" s="878"/>
      <c r="V266" s="882">
        <f t="shared" si="42"/>
        <v>1093.5</v>
      </c>
      <c r="W266" s="869">
        <v>1.8</v>
      </c>
      <c r="X266" s="870" t="s">
        <v>462</v>
      </c>
      <c r="Y266" s="845"/>
      <c r="Z266" s="845"/>
      <c r="AA266" s="868"/>
      <c r="AB266" s="869" t="s">
        <v>749</v>
      </c>
      <c r="AC266" s="869">
        <v>1</v>
      </c>
      <c r="AD266" s="870"/>
      <c r="AE266" s="902">
        <v>8000</v>
      </c>
      <c r="AF266" s="870"/>
      <c r="AG266" s="902">
        <f t="shared" si="43"/>
        <v>8000</v>
      </c>
      <c r="AI266" s="1003"/>
    </row>
    <row r="267" spans="1:35" ht="21.9" customHeight="1" x14ac:dyDescent="0.35">
      <c r="A267" s="841"/>
      <c r="F267" s="951"/>
      <c r="G267" s="951"/>
      <c r="L267" s="877">
        <v>2.4</v>
      </c>
      <c r="M267" s="878" t="s">
        <v>463</v>
      </c>
      <c r="N267" s="879"/>
      <c r="O267" s="879"/>
      <c r="P267" s="880"/>
      <c r="Q267" s="877" t="s">
        <v>747</v>
      </c>
      <c r="R267" s="877">
        <v>1</v>
      </c>
      <c r="S267" s="878"/>
      <c r="T267" s="881">
        <v>3.5299999999999998E-2</v>
      </c>
      <c r="U267" s="878"/>
      <c r="V267" s="882">
        <f t="shared" si="42"/>
        <v>1588.5</v>
      </c>
      <c r="W267" s="869">
        <v>1.9</v>
      </c>
      <c r="X267" s="870" t="s">
        <v>464</v>
      </c>
      <c r="Y267" s="883"/>
      <c r="Z267" s="883"/>
      <c r="AA267" s="884"/>
      <c r="AB267" s="869" t="s">
        <v>749</v>
      </c>
      <c r="AC267" s="869">
        <v>0</v>
      </c>
      <c r="AD267" s="870"/>
      <c r="AE267" s="902">
        <v>0</v>
      </c>
      <c r="AF267" s="870"/>
      <c r="AG267" s="902">
        <f t="shared" si="43"/>
        <v>0</v>
      </c>
      <c r="AI267" s="1003"/>
    </row>
    <row r="268" spans="1:35" ht="21.9" customHeight="1" x14ac:dyDescent="0.35">
      <c r="A268" s="841"/>
      <c r="F268" s="951"/>
      <c r="G268" s="951"/>
      <c r="L268" s="877" t="s">
        <v>741</v>
      </c>
      <c r="M268" s="878" t="s">
        <v>741</v>
      </c>
      <c r="N268" s="879"/>
      <c r="O268" s="879"/>
      <c r="P268" s="880"/>
      <c r="Q268" s="877" t="s">
        <v>741</v>
      </c>
      <c r="R268" s="877" t="s">
        <v>741</v>
      </c>
      <c r="S268" s="878"/>
      <c r="T268" s="882">
        <v>0</v>
      </c>
      <c r="U268" s="878" t="s">
        <v>741</v>
      </c>
      <c r="V268" s="882">
        <f t="shared" si="42"/>
        <v>0</v>
      </c>
      <c r="W268" s="869" t="s">
        <v>741</v>
      </c>
      <c r="X268" s="870" t="s">
        <v>741</v>
      </c>
      <c r="Y268" s="883"/>
      <c r="Z268" s="883"/>
      <c r="AA268" s="884"/>
      <c r="AB268" s="869" t="s">
        <v>741</v>
      </c>
      <c r="AC268" s="869" t="s">
        <v>741</v>
      </c>
      <c r="AD268" s="870"/>
      <c r="AE268" s="871" t="s">
        <v>741</v>
      </c>
      <c r="AF268" s="870"/>
      <c r="AG268" s="902" t="s">
        <v>741</v>
      </c>
      <c r="AI268" s="1003"/>
    </row>
    <row r="269" spans="1:35" ht="21.9" customHeight="1" x14ac:dyDescent="0.35">
      <c r="A269" s="841"/>
      <c r="F269" s="951"/>
      <c r="G269" s="951"/>
      <c r="L269" s="877" t="s">
        <v>741</v>
      </c>
      <c r="M269" s="878" t="s">
        <v>741</v>
      </c>
      <c r="N269" s="879"/>
      <c r="O269" s="879"/>
      <c r="P269" s="880"/>
      <c r="Q269" s="877" t="s">
        <v>741</v>
      </c>
      <c r="R269" s="877" t="s">
        <v>741</v>
      </c>
      <c r="S269" s="878"/>
      <c r="T269" s="992">
        <v>0</v>
      </c>
      <c r="U269" s="878" t="s">
        <v>741</v>
      </c>
      <c r="V269" s="992">
        <f t="shared" si="42"/>
        <v>0</v>
      </c>
      <c r="W269" s="869" t="s">
        <v>741</v>
      </c>
      <c r="X269" s="870" t="s">
        <v>741</v>
      </c>
      <c r="Y269" s="883"/>
      <c r="Z269" s="883"/>
      <c r="AA269" s="884"/>
      <c r="AB269" s="869" t="s">
        <v>741</v>
      </c>
      <c r="AC269" s="869" t="s">
        <v>741</v>
      </c>
      <c r="AD269" s="870"/>
      <c r="AE269" s="871" t="s">
        <v>741</v>
      </c>
      <c r="AF269" s="870"/>
      <c r="AG269" s="902" t="s">
        <v>741</v>
      </c>
      <c r="AI269" s="1003"/>
    </row>
    <row r="270" spans="1:35" ht="21.9" customHeight="1" x14ac:dyDescent="0.35">
      <c r="A270" s="841"/>
      <c r="F270" s="951"/>
      <c r="G270" s="951"/>
      <c r="L270" s="903" t="s">
        <v>260</v>
      </c>
      <c r="M270" s="904"/>
      <c r="N270" s="904"/>
      <c r="O270" s="904"/>
      <c r="P270" s="904"/>
      <c r="Q270" s="904"/>
      <c r="R270" s="904"/>
      <c r="S270" s="904"/>
      <c r="T270" s="905"/>
      <c r="U270" s="906"/>
      <c r="V270" s="907">
        <f>SUM(V258:V269)</f>
        <v>83002.5</v>
      </c>
      <c r="W270" s="908" t="s">
        <v>260</v>
      </c>
      <c r="X270" s="909"/>
      <c r="Y270" s="909"/>
      <c r="Z270" s="909"/>
      <c r="AA270" s="909"/>
      <c r="AB270" s="909"/>
      <c r="AC270" s="909"/>
      <c r="AD270" s="909"/>
      <c r="AE270" s="910"/>
      <c r="AF270" s="911"/>
      <c r="AG270" s="912">
        <f>SUM(AG259:AG269)</f>
        <v>113000</v>
      </c>
      <c r="AI270" s="1003"/>
    </row>
    <row r="271" spans="1:35" ht="21.9" customHeight="1" x14ac:dyDescent="0.35">
      <c r="A271" s="841"/>
      <c r="F271" s="951"/>
      <c r="G271" s="951"/>
      <c r="L271" s="831"/>
      <c r="M271" s="831"/>
      <c r="N271" s="831"/>
      <c r="O271" s="831"/>
      <c r="P271" s="831"/>
      <c r="Q271" s="831"/>
      <c r="R271" s="831"/>
      <c r="S271" s="831"/>
      <c r="T271" s="831"/>
      <c r="U271" s="831"/>
      <c r="V271" s="831"/>
      <c r="W271" s="984" t="s">
        <v>741</v>
      </c>
      <c r="X271" s="862" t="s">
        <v>741</v>
      </c>
      <c r="Y271" s="862"/>
      <c r="Z271" s="862"/>
      <c r="AA271" s="862"/>
      <c r="AB271" s="984" t="s">
        <v>741</v>
      </c>
      <c r="AC271" s="984" t="s">
        <v>741</v>
      </c>
      <c r="AD271" s="862"/>
      <c r="AE271" s="985" t="s">
        <v>741</v>
      </c>
      <c r="AF271" s="862"/>
      <c r="AG271" s="985" t="s">
        <v>741</v>
      </c>
      <c r="AI271" s="1003"/>
    </row>
    <row r="272" spans="1:35" ht="21.9" customHeight="1" x14ac:dyDescent="0.35">
      <c r="A272" s="841"/>
      <c r="F272" s="951"/>
      <c r="G272" s="951"/>
      <c r="L272" s="831"/>
      <c r="M272" s="837" t="s">
        <v>567</v>
      </c>
      <c r="N272" s="837"/>
      <c r="O272" s="837"/>
      <c r="P272" s="837">
        <v>100</v>
      </c>
      <c r="Q272" s="837" t="s">
        <v>660</v>
      </c>
      <c r="R272" s="831"/>
      <c r="S272" s="838" t="s">
        <v>518</v>
      </c>
      <c r="T272" s="837">
        <f>E25</f>
        <v>20</v>
      </c>
      <c r="U272" s="839" t="s">
        <v>519</v>
      </c>
      <c r="V272" s="831"/>
      <c r="W272" s="883"/>
      <c r="X272" s="837" t="s">
        <v>568</v>
      </c>
      <c r="Y272" s="837"/>
      <c r="Z272" s="837"/>
      <c r="AA272" s="837">
        <v>100</v>
      </c>
      <c r="AB272" s="837" t="s">
        <v>660</v>
      </c>
      <c r="AC272" s="831"/>
      <c r="AD272" s="838" t="s">
        <v>518</v>
      </c>
      <c r="AE272" s="837">
        <f>E25</f>
        <v>20</v>
      </c>
      <c r="AF272" s="839" t="s">
        <v>519</v>
      </c>
      <c r="AG272" s="831"/>
      <c r="AI272" s="1003"/>
    </row>
    <row r="273" spans="1:35" ht="21.9" customHeight="1" x14ac:dyDescent="0.35">
      <c r="A273" s="841"/>
      <c r="F273" s="951"/>
      <c r="G273" s="951"/>
      <c r="L273" s="847" t="s">
        <v>522</v>
      </c>
      <c r="M273" s="848" t="s">
        <v>523</v>
      </c>
      <c r="N273" s="849"/>
      <c r="O273" s="849"/>
      <c r="P273" s="850"/>
      <c r="Q273" s="847" t="s">
        <v>524</v>
      </c>
      <c r="R273" s="847" t="s">
        <v>525</v>
      </c>
      <c r="S273" s="851" t="s">
        <v>526</v>
      </c>
      <c r="T273" s="852"/>
      <c r="U273" s="851" t="s">
        <v>527</v>
      </c>
      <c r="V273" s="852"/>
      <c r="W273" s="847" t="s">
        <v>522</v>
      </c>
      <c r="X273" s="848" t="s">
        <v>523</v>
      </c>
      <c r="Y273" s="849"/>
      <c r="Z273" s="849"/>
      <c r="AA273" s="850"/>
      <c r="AB273" s="847" t="s">
        <v>524</v>
      </c>
      <c r="AC273" s="847" t="s">
        <v>525</v>
      </c>
      <c r="AD273" s="851" t="s">
        <v>528</v>
      </c>
      <c r="AE273" s="852"/>
      <c r="AF273" s="851" t="s">
        <v>529</v>
      </c>
      <c r="AG273" s="852"/>
      <c r="AI273" s="1003"/>
    </row>
    <row r="274" spans="1:35" ht="21.9" customHeight="1" x14ac:dyDescent="0.35">
      <c r="A274" s="841"/>
      <c r="F274" s="951"/>
      <c r="G274" s="951"/>
      <c r="L274" s="854"/>
      <c r="M274" s="855"/>
      <c r="N274" s="856"/>
      <c r="O274" s="856"/>
      <c r="P274" s="857"/>
      <c r="Q274" s="854"/>
      <c r="R274" s="854"/>
      <c r="S274" s="858" t="s">
        <v>533</v>
      </c>
      <c r="T274" s="859"/>
      <c r="U274" s="858" t="s">
        <v>732</v>
      </c>
      <c r="V274" s="859"/>
      <c r="W274" s="854"/>
      <c r="X274" s="855"/>
      <c r="Y274" s="856"/>
      <c r="Z274" s="856"/>
      <c r="AA274" s="857"/>
      <c r="AB274" s="854"/>
      <c r="AC274" s="854"/>
      <c r="AD274" s="858" t="s">
        <v>733</v>
      </c>
      <c r="AE274" s="859"/>
      <c r="AF274" s="858" t="s">
        <v>732</v>
      </c>
      <c r="AG274" s="859"/>
      <c r="AI274" s="1003"/>
    </row>
    <row r="275" spans="1:35" ht="21.9" customHeight="1" x14ac:dyDescent="0.35">
      <c r="A275" s="841"/>
      <c r="F275" s="951"/>
      <c r="G275" s="951"/>
      <c r="L275" s="860">
        <v>1</v>
      </c>
      <c r="M275" s="861" t="s">
        <v>739</v>
      </c>
      <c r="N275" s="862"/>
      <c r="O275" s="862"/>
      <c r="P275" s="863"/>
      <c r="Q275" s="864"/>
      <c r="R275" s="864"/>
      <c r="S275" s="865"/>
      <c r="T275" s="863"/>
      <c r="U275" s="865"/>
      <c r="V275" s="863"/>
      <c r="W275" s="866">
        <v>1</v>
      </c>
      <c r="X275" s="867" t="s">
        <v>740</v>
      </c>
      <c r="Y275" s="845"/>
      <c r="Z275" s="845"/>
      <c r="AA275" s="868"/>
      <c r="AB275" s="869"/>
      <c r="AC275" s="869"/>
      <c r="AD275" s="870"/>
      <c r="AE275" s="871"/>
      <c r="AF275" s="870"/>
      <c r="AG275" s="872" t="s">
        <v>741</v>
      </c>
      <c r="AI275" s="1003"/>
    </row>
    <row r="276" spans="1:35" ht="21.9" customHeight="1" x14ac:dyDescent="0.35">
      <c r="A276" s="841"/>
      <c r="F276" s="951"/>
      <c r="G276" s="951"/>
      <c r="L276" s="877">
        <v>1.1000000000000001</v>
      </c>
      <c r="M276" s="878" t="s">
        <v>1437</v>
      </c>
      <c r="N276" s="879"/>
      <c r="O276" s="879"/>
      <c r="P276" s="880"/>
      <c r="Q276" s="877" t="s">
        <v>747</v>
      </c>
      <c r="R276" s="877">
        <v>1</v>
      </c>
      <c r="S276" s="878"/>
      <c r="T276" s="881">
        <v>4.0300000000000002E-2</v>
      </c>
      <c r="U276" s="878"/>
      <c r="V276" s="882">
        <f t="shared" ref="V276:V286" si="44">((($P$272*1000000)*T276)/100)/$T$272</f>
        <v>2015.0000000000005</v>
      </c>
      <c r="W276" s="869">
        <v>1.1000000000000001</v>
      </c>
      <c r="X276" s="870" t="s">
        <v>748</v>
      </c>
      <c r="Y276" s="883"/>
      <c r="Z276" s="883"/>
      <c r="AA276" s="884"/>
      <c r="AB276" s="869" t="s">
        <v>749</v>
      </c>
      <c r="AC276" s="869">
        <v>1</v>
      </c>
      <c r="AD276" s="870"/>
      <c r="AE276" s="957">
        <v>40000</v>
      </c>
      <c r="AF276" s="870"/>
      <c r="AG276" s="902">
        <f t="shared" ref="AG276:AG284" si="45">(AC276*AE276)</f>
        <v>40000</v>
      </c>
      <c r="AI276" s="1003"/>
    </row>
    <row r="277" spans="1:35" ht="21.9" customHeight="1" x14ac:dyDescent="0.35">
      <c r="A277" s="841"/>
      <c r="F277" s="951"/>
      <c r="G277" s="951"/>
      <c r="L277" s="877">
        <v>1.2</v>
      </c>
      <c r="M277" s="878" t="s">
        <v>752</v>
      </c>
      <c r="N277" s="879"/>
      <c r="O277" s="879"/>
      <c r="P277" s="880"/>
      <c r="Q277" s="877" t="s">
        <v>747</v>
      </c>
      <c r="R277" s="877">
        <v>1</v>
      </c>
      <c r="S277" s="878"/>
      <c r="T277" s="881">
        <v>0.62419999999999998</v>
      </c>
      <c r="U277" s="878"/>
      <c r="V277" s="882">
        <f t="shared" si="44"/>
        <v>31210</v>
      </c>
      <c r="W277" s="869">
        <v>1.2</v>
      </c>
      <c r="X277" s="870" t="s">
        <v>753</v>
      </c>
      <c r="Y277" s="883"/>
      <c r="Z277" s="883"/>
      <c r="AA277" s="884"/>
      <c r="AB277" s="869" t="s">
        <v>749</v>
      </c>
      <c r="AC277" s="869">
        <v>0</v>
      </c>
      <c r="AD277" s="870"/>
      <c r="AE277" s="902">
        <v>0</v>
      </c>
      <c r="AF277" s="870"/>
      <c r="AG277" s="902">
        <f t="shared" si="45"/>
        <v>0</v>
      </c>
      <c r="AI277" s="1003"/>
    </row>
    <row r="278" spans="1:35" ht="21.9" customHeight="1" x14ac:dyDescent="0.35">
      <c r="A278" s="841"/>
      <c r="F278" s="951"/>
      <c r="G278" s="951"/>
      <c r="L278" s="877">
        <v>1.3</v>
      </c>
      <c r="M278" s="878" t="s">
        <v>754</v>
      </c>
      <c r="N278" s="879"/>
      <c r="O278" s="879"/>
      <c r="P278" s="880"/>
      <c r="Q278" s="877" t="s">
        <v>747</v>
      </c>
      <c r="R278" s="898">
        <v>1</v>
      </c>
      <c r="S278" s="878"/>
      <c r="T278" s="881">
        <v>0.01</v>
      </c>
      <c r="U278" s="878"/>
      <c r="V278" s="882">
        <f t="shared" si="44"/>
        <v>500</v>
      </c>
      <c r="W278" s="869">
        <v>1.3</v>
      </c>
      <c r="X278" s="870" t="s">
        <v>755</v>
      </c>
      <c r="Y278" s="883"/>
      <c r="Z278" s="883"/>
      <c r="AA278" s="884"/>
      <c r="AB278" s="869" t="s">
        <v>749</v>
      </c>
      <c r="AC278" s="869">
        <v>1</v>
      </c>
      <c r="AD278" s="870"/>
      <c r="AE278" s="902">
        <v>25000</v>
      </c>
      <c r="AF278" s="870"/>
      <c r="AG278" s="902">
        <f t="shared" si="45"/>
        <v>25000</v>
      </c>
      <c r="AI278" s="1003"/>
    </row>
    <row r="279" spans="1:35" ht="21.9" customHeight="1" x14ac:dyDescent="0.35">
      <c r="A279" s="841"/>
      <c r="F279" s="951"/>
      <c r="G279" s="951"/>
      <c r="L279" s="877">
        <v>1.4</v>
      </c>
      <c r="M279" s="878" t="s">
        <v>453</v>
      </c>
      <c r="N279" s="879"/>
      <c r="O279" s="879"/>
      <c r="P279" s="880"/>
      <c r="Q279" s="877" t="s">
        <v>747</v>
      </c>
      <c r="R279" s="877">
        <v>1</v>
      </c>
      <c r="S279" s="878"/>
      <c r="T279" s="881">
        <v>9.3899999999999997E-2</v>
      </c>
      <c r="U279" s="878"/>
      <c r="V279" s="882">
        <f t="shared" si="44"/>
        <v>4695</v>
      </c>
      <c r="W279" s="869">
        <v>1.4</v>
      </c>
      <c r="X279" s="870" t="s">
        <v>454</v>
      </c>
      <c r="Y279" s="883"/>
      <c r="Z279" s="883"/>
      <c r="AA279" s="884"/>
      <c r="AB279" s="869" t="s">
        <v>749</v>
      </c>
      <c r="AC279" s="869">
        <v>0</v>
      </c>
      <c r="AD279" s="870"/>
      <c r="AE279" s="902">
        <v>0</v>
      </c>
      <c r="AF279" s="870"/>
      <c r="AG279" s="902">
        <f t="shared" si="45"/>
        <v>0</v>
      </c>
      <c r="AI279" s="1003"/>
    </row>
    <row r="280" spans="1:35" ht="21.9" customHeight="1" x14ac:dyDescent="0.35">
      <c r="A280" s="841"/>
      <c r="F280" s="951"/>
      <c r="G280" s="951"/>
      <c r="L280" s="900">
        <v>2</v>
      </c>
      <c r="M280" s="901" t="s">
        <v>455</v>
      </c>
      <c r="N280" s="879"/>
      <c r="O280" s="879"/>
      <c r="P280" s="880"/>
      <c r="Q280" s="877"/>
      <c r="R280" s="877"/>
      <c r="S280" s="878"/>
      <c r="T280" s="882">
        <v>0</v>
      </c>
      <c r="U280" s="878"/>
      <c r="V280" s="882">
        <f t="shared" si="44"/>
        <v>0</v>
      </c>
      <c r="W280" s="869">
        <v>1.5</v>
      </c>
      <c r="X280" s="870" t="s">
        <v>456</v>
      </c>
      <c r="Y280" s="883"/>
      <c r="Z280" s="883"/>
      <c r="AA280" s="884"/>
      <c r="AB280" s="869" t="s">
        <v>749</v>
      </c>
      <c r="AC280" s="869">
        <v>2</v>
      </c>
      <c r="AD280" s="870"/>
      <c r="AE280" s="902">
        <v>12000</v>
      </c>
      <c r="AF280" s="870"/>
      <c r="AG280" s="902">
        <f t="shared" si="45"/>
        <v>24000</v>
      </c>
      <c r="AI280" s="1003"/>
    </row>
    <row r="281" spans="1:35" ht="21.9" customHeight="1" x14ac:dyDescent="0.35">
      <c r="A281" s="841"/>
      <c r="F281" s="951"/>
      <c r="G281" s="951"/>
      <c r="L281" s="877">
        <v>2.1</v>
      </c>
      <c r="M281" s="878" t="s">
        <v>457</v>
      </c>
      <c r="N281" s="879"/>
      <c r="O281" s="879"/>
      <c r="P281" s="880"/>
      <c r="Q281" s="877" t="s">
        <v>747</v>
      </c>
      <c r="R281" s="877">
        <v>1</v>
      </c>
      <c r="S281" s="878"/>
      <c r="T281" s="881">
        <v>0.30449999999999999</v>
      </c>
      <c r="U281" s="878"/>
      <c r="V281" s="882">
        <f t="shared" si="44"/>
        <v>15225</v>
      </c>
      <c r="W281" s="869">
        <v>1.6</v>
      </c>
      <c r="X281" s="870" t="s">
        <v>458</v>
      </c>
      <c r="Y281" s="883"/>
      <c r="Z281" s="883"/>
      <c r="AA281" s="884"/>
      <c r="AB281" s="869" t="s">
        <v>749</v>
      </c>
      <c r="AC281" s="869">
        <v>1</v>
      </c>
      <c r="AD281" s="870"/>
      <c r="AE281" s="902">
        <v>6000</v>
      </c>
      <c r="AF281" s="870"/>
      <c r="AG281" s="902">
        <f t="shared" si="45"/>
        <v>6000</v>
      </c>
      <c r="AI281" s="1003"/>
    </row>
    <row r="282" spans="1:35" ht="21.9" customHeight="1" x14ac:dyDescent="0.35">
      <c r="A282" s="841"/>
      <c r="F282" s="951"/>
      <c r="G282" s="951"/>
      <c r="L282" s="877">
        <v>2.2000000000000002</v>
      </c>
      <c r="M282" s="878" t="s">
        <v>459</v>
      </c>
      <c r="N282" s="879"/>
      <c r="O282" s="879"/>
      <c r="P282" s="880"/>
      <c r="Q282" s="877" t="s">
        <v>747</v>
      </c>
      <c r="R282" s="877">
        <v>1</v>
      </c>
      <c r="S282" s="878"/>
      <c r="T282" s="881">
        <v>0.71199999999999997</v>
      </c>
      <c r="U282" s="878"/>
      <c r="V282" s="882">
        <f t="shared" si="44"/>
        <v>35600</v>
      </c>
      <c r="W282" s="869">
        <v>1.7</v>
      </c>
      <c r="X282" s="870" t="s">
        <v>460</v>
      </c>
      <c r="Y282" s="883"/>
      <c r="Z282" s="883"/>
      <c r="AA282" s="884"/>
      <c r="AB282" s="869" t="s">
        <v>749</v>
      </c>
      <c r="AC282" s="869">
        <v>1</v>
      </c>
      <c r="AD282" s="870"/>
      <c r="AE282" s="902">
        <v>10000</v>
      </c>
      <c r="AF282" s="870"/>
      <c r="AG282" s="902">
        <f t="shared" si="45"/>
        <v>10000</v>
      </c>
      <c r="AI282" s="1003"/>
    </row>
    <row r="283" spans="1:35" ht="21.9" customHeight="1" x14ac:dyDescent="0.35">
      <c r="A283" s="841"/>
      <c r="F283" s="951"/>
      <c r="G283" s="951"/>
      <c r="L283" s="877">
        <v>2.2999999999999998</v>
      </c>
      <c r="M283" s="878" t="s">
        <v>461</v>
      </c>
      <c r="N283" s="879"/>
      <c r="O283" s="879"/>
      <c r="P283" s="880"/>
      <c r="Q283" s="877" t="s">
        <v>747</v>
      </c>
      <c r="R283" s="877">
        <v>1</v>
      </c>
      <c r="S283" s="878"/>
      <c r="T283" s="881">
        <v>2.4299999999999999E-2</v>
      </c>
      <c r="U283" s="878"/>
      <c r="V283" s="882">
        <f t="shared" si="44"/>
        <v>1215</v>
      </c>
      <c r="W283" s="869">
        <v>1.8</v>
      </c>
      <c r="X283" s="870" t="s">
        <v>462</v>
      </c>
      <c r="Y283" s="845"/>
      <c r="Z283" s="845"/>
      <c r="AA283" s="868"/>
      <c r="AB283" s="869" t="s">
        <v>749</v>
      </c>
      <c r="AC283" s="869">
        <v>1</v>
      </c>
      <c r="AD283" s="870"/>
      <c r="AE283" s="902">
        <v>8000</v>
      </c>
      <c r="AF283" s="870"/>
      <c r="AG283" s="902">
        <f t="shared" si="45"/>
        <v>8000</v>
      </c>
      <c r="AI283" s="1003"/>
    </row>
    <row r="284" spans="1:35" ht="21.9" customHeight="1" x14ac:dyDescent="0.35">
      <c r="A284" s="841"/>
      <c r="F284" s="951"/>
      <c r="G284" s="951"/>
      <c r="L284" s="877">
        <v>2.4</v>
      </c>
      <c r="M284" s="878" t="s">
        <v>463</v>
      </c>
      <c r="N284" s="879"/>
      <c r="O284" s="879"/>
      <c r="P284" s="880"/>
      <c r="Q284" s="877" t="s">
        <v>747</v>
      </c>
      <c r="R284" s="877">
        <v>1</v>
      </c>
      <c r="S284" s="878"/>
      <c r="T284" s="881">
        <v>3.5299999999999998E-2</v>
      </c>
      <c r="U284" s="878"/>
      <c r="V284" s="882">
        <f t="shared" si="44"/>
        <v>1765</v>
      </c>
      <c r="W284" s="869">
        <v>1.9</v>
      </c>
      <c r="X284" s="870" t="s">
        <v>464</v>
      </c>
      <c r="Y284" s="883"/>
      <c r="Z284" s="883"/>
      <c r="AA284" s="884"/>
      <c r="AB284" s="869" t="s">
        <v>749</v>
      </c>
      <c r="AC284" s="869">
        <v>0</v>
      </c>
      <c r="AD284" s="870"/>
      <c r="AE284" s="902">
        <v>0</v>
      </c>
      <c r="AF284" s="870"/>
      <c r="AG284" s="902">
        <f t="shared" si="45"/>
        <v>0</v>
      </c>
      <c r="AI284" s="1003"/>
    </row>
    <row r="285" spans="1:35" ht="21.9" customHeight="1" x14ac:dyDescent="0.35">
      <c r="A285" s="841"/>
      <c r="F285" s="951"/>
      <c r="G285" s="951"/>
      <c r="L285" s="877" t="s">
        <v>741</v>
      </c>
      <c r="M285" s="878" t="s">
        <v>741</v>
      </c>
      <c r="N285" s="879"/>
      <c r="O285" s="879"/>
      <c r="P285" s="880"/>
      <c r="Q285" s="877" t="s">
        <v>741</v>
      </c>
      <c r="R285" s="877" t="s">
        <v>741</v>
      </c>
      <c r="S285" s="878"/>
      <c r="T285" s="882">
        <v>0</v>
      </c>
      <c r="U285" s="878" t="s">
        <v>741</v>
      </c>
      <c r="V285" s="882">
        <f t="shared" si="44"/>
        <v>0</v>
      </c>
      <c r="W285" s="869" t="s">
        <v>741</v>
      </c>
      <c r="X285" s="870" t="s">
        <v>741</v>
      </c>
      <c r="Y285" s="845"/>
      <c r="Z285" s="845"/>
      <c r="AA285" s="868"/>
      <c r="AB285" s="869" t="s">
        <v>741</v>
      </c>
      <c r="AC285" s="869" t="s">
        <v>741</v>
      </c>
      <c r="AD285" s="870"/>
      <c r="AE285" s="871"/>
      <c r="AF285" s="870"/>
      <c r="AG285" s="902" t="s">
        <v>741</v>
      </c>
      <c r="AI285" s="1003"/>
    </row>
    <row r="286" spans="1:35" ht="21.9" customHeight="1" x14ac:dyDescent="0.35">
      <c r="A286" s="841"/>
      <c r="F286" s="951"/>
      <c r="G286" s="951"/>
      <c r="L286" s="877" t="s">
        <v>741</v>
      </c>
      <c r="M286" s="878" t="s">
        <v>741</v>
      </c>
      <c r="N286" s="879"/>
      <c r="O286" s="879"/>
      <c r="P286" s="880"/>
      <c r="Q286" s="877" t="s">
        <v>741</v>
      </c>
      <c r="R286" s="877" t="s">
        <v>741</v>
      </c>
      <c r="S286" s="878"/>
      <c r="T286" s="882">
        <v>0</v>
      </c>
      <c r="U286" s="878" t="s">
        <v>741</v>
      </c>
      <c r="V286" s="882">
        <f t="shared" si="44"/>
        <v>0</v>
      </c>
      <c r="W286" s="869" t="s">
        <v>741</v>
      </c>
      <c r="X286" s="870" t="s">
        <v>741</v>
      </c>
      <c r="Y286" s="883"/>
      <c r="Z286" s="883"/>
      <c r="AA286" s="884"/>
      <c r="AB286" s="869" t="s">
        <v>741</v>
      </c>
      <c r="AC286" s="869" t="s">
        <v>741</v>
      </c>
      <c r="AD286" s="870"/>
      <c r="AE286" s="871" t="s">
        <v>741</v>
      </c>
      <c r="AF286" s="870"/>
      <c r="AG286" s="902" t="s">
        <v>741</v>
      </c>
      <c r="AI286" s="1003"/>
    </row>
    <row r="287" spans="1:35" ht="21.9" customHeight="1" x14ac:dyDescent="0.35">
      <c r="A287" s="841"/>
      <c r="F287" s="951"/>
      <c r="G287" s="951"/>
      <c r="L287" s="903" t="s">
        <v>260</v>
      </c>
      <c r="M287" s="904"/>
      <c r="N287" s="904"/>
      <c r="O287" s="904"/>
      <c r="P287" s="904"/>
      <c r="Q287" s="904"/>
      <c r="R287" s="904"/>
      <c r="S287" s="904"/>
      <c r="T287" s="905"/>
      <c r="U287" s="906"/>
      <c r="V287" s="907">
        <f>SUM(V275:V286)</f>
        <v>92225</v>
      </c>
      <c r="W287" s="1008" t="s">
        <v>260</v>
      </c>
      <c r="X287" s="1009"/>
      <c r="Y287" s="1009"/>
      <c r="Z287" s="1009"/>
      <c r="AA287" s="1009"/>
      <c r="AB287" s="1009"/>
      <c r="AC287" s="1009"/>
      <c r="AD287" s="1009"/>
      <c r="AE287" s="1010"/>
      <c r="AF287" s="1011"/>
      <c r="AG287" s="1012">
        <f>SUM(AG276:AG286)</f>
        <v>113000</v>
      </c>
      <c r="AI287" s="1003"/>
    </row>
    <row r="288" spans="1:35" ht="21.9" customHeight="1" x14ac:dyDescent="0.35">
      <c r="A288" s="841"/>
      <c r="F288" s="951"/>
      <c r="G288" s="951"/>
      <c r="L288" s="831"/>
      <c r="M288" s="831"/>
      <c r="N288" s="831"/>
      <c r="O288" s="831"/>
      <c r="P288" s="831"/>
      <c r="Q288" s="831"/>
      <c r="R288" s="831"/>
      <c r="S288" s="831"/>
      <c r="T288" s="831"/>
      <c r="U288" s="831"/>
      <c r="V288" s="831"/>
      <c r="AI288" s="1003"/>
    </row>
    <row r="289" spans="1:35" ht="21.9" customHeight="1" x14ac:dyDescent="0.35">
      <c r="A289" s="841"/>
      <c r="F289" s="951"/>
      <c r="G289" s="951"/>
      <c r="L289" s="930" t="s">
        <v>569</v>
      </c>
      <c r="M289" s="930"/>
      <c r="N289" s="930"/>
      <c r="O289" s="930"/>
      <c r="P289" s="930"/>
      <c r="Q289" s="930"/>
      <c r="R289" s="930"/>
      <c r="S289" s="930"/>
      <c r="T289" s="930"/>
      <c r="U289" s="930"/>
      <c r="V289" s="930"/>
      <c r="W289" s="828" t="s">
        <v>570</v>
      </c>
      <c r="X289" s="828"/>
      <c r="Y289" s="828"/>
      <c r="Z289" s="828"/>
      <c r="AA289" s="828"/>
      <c r="AB289" s="828"/>
      <c r="AC289" s="828"/>
      <c r="AD289" s="828"/>
      <c r="AE289" s="828"/>
      <c r="AF289" s="828"/>
      <c r="AG289" s="828"/>
      <c r="AI289" s="1003"/>
    </row>
    <row r="290" spans="1:35" ht="21.9" customHeight="1" x14ac:dyDescent="0.35">
      <c r="A290" s="841"/>
      <c r="F290" s="951"/>
      <c r="G290" s="951"/>
      <c r="L290" s="831"/>
      <c r="M290" s="831"/>
      <c r="N290" s="831"/>
      <c r="O290" s="831"/>
      <c r="P290" s="831"/>
      <c r="Q290" s="831"/>
      <c r="R290" s="831"/>
      <c r="S290" s="831"/>
      <c r="T290" s="831"/>
      <c r="U290" s="831"/>
      <c r="V290" s="831"/>
      <c r="AI290" s="1003"/>
    </row>
    <row r="291" spans="1:35" ht="21.9" customHeight="1" x14ac:dyDescent="0.35">
      <c r="A291" s="841"/>
      <c r="F291" s="951"/>
      <c r="G291" s="951"/>
      <c r="L291" s="831"/>
      <c r="M291" s="837" t="s">
        <v>571</v>
      </c>
      <c r="N291" s="837"/>
      <c r="O291" s="837"/>
      <c r="P291" s="837">
        <v>150</v>
      </c>
      <c r="Q291" s="837" t="s">
        <v>660</v>
      </c>
      <c r="R291" s="831"/>
      <c r="S291" s="838" t="s">
        <v>518</v>
      </c>
      <c r="T291" s="837">
        <f>E26</f>
        <v>22</v>
      </c>
      <c r="U291" s="839" t="s">
        <v>519</v>
      </c>
      <c r="V291" s="831"/>
      <c r="X291" s="840" t="s">
        <v>572</v>
      </c>
      <c r="Y291" s="840"/>
      <c r="Z291" s="840"/>
      <c r="AA291" s="840">
        <v>150</v>
      </c>
      <c r="AB291" s="840" t="s">
        <v>660</v>
      </c>
      <c r="AD291" s="838" t="s">
        <v>518</v>
      </c>
      <c r="AE291" s="837">
        <f>E26</f>
        <v>22</v>
      </c>
      <c r="AF291" s="839" t="s">
        <v>519</v>
      </c>
      <c r="AI291" s="1003"/>
    </row>
    <row r="292" spans="1:35" ht="21.9" customHeight="1" x14ac:dyDescent="0.35">
      <c r="A292" s="841"/>
      <c r="F292" s="951"/>
      <c r="G292" s="951"/>
      <c r="J292" s="1013"/>
      <c r="K292" s="1013"/>
      <c r="L292" s="847" t="s">
        <v>522</v>
      </c>
      <c r="M292" s="848" t="s">
        <v>523</v>
      </c>
      <c r="N292" s="849"/>
      <c r="O292" s="849"/>
      <c r="P292" s="850"/>
      <c r="Q292" s="847" t="s">
        <v>524</v>
      </c>
      <c r="R292" s="847" t="s">
        <v>525</v>
      </c>
      <c r="S292" s="851" t="s">
        <v>526</v>
      </c>
      <c r="T292" s="852"/>
      <c r="U292" s="851" t="s">
        <v>527</v>
      </c>
      <c r="V292" s="852"/>
      <c r="W292" s="847" t="s">
        <v>522</v>
      </c>
      <c r="X292" s="848" t="s">
        <v>523</v>
      </c>
      <c r="Y292" s="849"/>
      <c r="Z292" s="849"/>
      <c r="AA292" s="850"/>
      <c r="AB292" s="847" t="s">
        <v>524</v>
      </c>
      <c r="AC292" s="847" t="s">
        <v>525</v>
      </c>
      <c r="AD292" s="851" t="s">
        <v>528</v>
      </c>
      <c r="AE292" s="852"/>
      <c r="AF292" s="851" t="s">
        <v>529</v>
      </c>
      <c r="AG292" s="852"/>
      <c r="AI292" s="1003"/>
    </row>
    <row r="293" spans="1:35" ht="21.9" customHeight="1" x14ac:dyDescent="0.35">
      <c r="A293" s="841"/>
      <c r="F293" s="951"/>
      <c r="G293" s="951"/>
      <c r="J293" s="1013"/>
      <c r="K293" s="1013"/>
      <c r="L293" s="854"/>
      <c r="M293" s="855"/>
      <c r="N293" s="856"/>
      <c r="O293" s="856"/>
      <c r="P293" s="857"/>
      <c r="Q293" s="854"/>
      <c r="R293" s="854"/>
      <c r="S293" s="858" t="s">
        <v>533</v>
      </c>
      <c r="T293" s="859"/>
      <c r="U293" s="858" t="s">
        <v>732</v>
      </c>
      <c r="V293" s="859"/>
      <c r="W293" s="854"/>
      <c r="X293" s="855"/>
      <c r="Y293" s="856"/>
      <c r="Z293" s="856"/>
      <c r="AA293" s="857"/>
      <c r="AB293" s="854"/>
      <c r="AC293" s="854"/>
      <c r="AD293" s="858" t="s">
        <v>733</v>
      </c>
      <c r="AE293" s="859"/>
      <c r="AF293" s="858" t="s">
        <v>732</v>
      </c>
      <c r="AG293" s="859"/>
      <c r="AI293" s="1003"/>
    </row>
    <row r="294" spans="1:35" ht="21.9" customHeight="1" x14ac:dyDescent="0.35">
      <c r="A294" s="841"/>
      <c r="F294" s="951"/>
      <c r="G294" s="951"/>
      <c r="L294" s="860">
        <v>1</v>
      </c>
      <c r="M294" s="861" t="s">
        <v>739</v>
      </c>
      <c r="N294" s="862"/>
      <c r="O294" s="862"/>
      <c r="P294" s="863"/>
      <c r="Q294" s="864"/>
      <c r="R294" s="864"/>
      <c r="S294" s="865"/>
      <c r="T294" s="863"/>
      <c r="U294" s="865"/>
      <c r="V294" s="863"/>
      <c r="W294" s="866">
        <v>1</v>
      </c>
      <c r="X294" s="867" t="s">
        <v>740</v>
      </c>
      <c r="Y294" s="845"/>
      <c r="Z294" s="845"/>
      <c r="AA294" s="868"/>
      <c r="AB294" s="869"/>
      <c r="AC294" s="869"/>
      <c r="AD294" s="870"/>
      <c r="AE294" s="871"/>
      <c r="AF294" s="870"/>
      <c r="AG294" s="872" t="s">
        <v>741</v>
      </c>
      <c r="AI294" s="1003"/>
    </row>
    <row r="295" spans="1:35" ht="21.9" customHeight="1" x14ac:dyDescent="0.35">
      <c r="A295" s="841"/>
      <c r="F295" s="951"/>
      <c r="G295" s="951"/>
      <c r="L295" s="877">
        <v>1.1000000000000001</v>
      </c>
      <c r="M295" s="878" t="s">
        <v>1437</v>
      </c>
      <c r="N295" s="879"/>
      <c r="O295" s="879"/>
      <c r="P295" s="880"/>
      <c r="Q295" s="877" t="s">
        <v>747</v>
      </c>
      <c r="R295" s="877">
        <v>1</v>
      </c>
      <c r="S295" s="878"/>
      <c r="T295" s="881">
        <v>3.0499999999999999E-2</v>
      </c>
      <c r="U295" s="878"/>
      <c r="V295" s="882">
        <f t="shared" ref="V295:V305" si="46">((($P$291*1000000)*T295)/100)/$T$291</f>
        <v>2079.5454545454545</v>
      </c>
      <c r="W295" s="869">
        <v>1.1000000000000001</v>
      </c>
      <c r="X295" s="870" t="s">
        <v>748</v>
      </c>
      <c r="Y295" s="883"/>
      <c r="Z295" s="883"/>
      <c r="AA295" s="884"/>
      <c r="AB295" s="869" t="s">
        <v>749</v>
      </c>
      <c r="AC295" s="869">
        <v>1</v>
      </c>
      <c r="AD295" s="870"/>
      <c r="AE295" s="957">
        <v>50000</v>
      </c>
      <c r="AF295" s="870"/>
      <c r="AG295" s="902">
        <f t="shared" ref="AG295:AG303" si="47">(AC295*AE295)</f>
        <v>50000</v>
      </c>
      <c r="AI295" s="1003"/>
    </row>
    <row r="296" spans="1:35" ht="21.9" customHeight="1" x14ac:dyDescent="0.35">
      <c r="A296" s="841"/>
      <c r="F296" s="951"/>
      <c r="G296" s="951"/>
      <c r="L296" s="877">
        <v>1.2</v>
      </c>
      <c r="M296" s="878" t="s">
        <v>752</v>
      </c>
      <c r="N296" s="879"/>
      <c r="O296" s="879"/>
      <c r="P296" s="880"/>
      <c r="Q296" s="877" t="s">
        <v>747</v>
      </c>
      <c r="R296" s="877">
        <v>1</v>
      </c>
      <c r="S296" s="878"/>
      <c r="T296" s="881">
        <v>0.62419999999999998</v>
      </c>
      <c r="U296" s="878"/>
      <c r="V296" s="882">
        <f t="shared" si="46"/>
        <v>42559.090909090912</v>
      </c>
      <c r="W296" s="869">
        <v>1.2</v>
      </c>
      <c r="X296" s="870" t="s">
        <v>753</v>
      </c>
      <c r="Y296" s="883"/>
      <c r="Z296" s="883"/>
      <c r="AA296" s="884"/>
      <c r="AB296" s="869" t="s">
        <v>749</v>
      </c>
      <c r="AC296" s="869">
        <v>0</v>
      </c>
      <c r="AD296" s="870"/>
      <c r="AE296" s="902">
        <v>0</v>
      </c>
      <c r="AF296" s="870"/>
      <c r="AG296" s="902">
        <f t="shared" si="47"/>
        <v>0</v>
      </c>
      <c r="AI296" s="1003"/>
    </row>
    <row r="297" spans="1:35" ht="21.9" customHeight="1" x14ac:dyDescent="0.35">
      <c r="A297" s="841"/>
      <c r="F297" s="951"/>
      <c r="G297" s="951"/>
      <c r="L297" s="877">
        <v>1.3</v>
      </c>
      <c r="M297" s="878" t="s">
        <v>754</v>
      </c>
      <c r="N297" s="879"/>
      <c r="O297" s="879"/>
      <c r="P297" s="880"/>
      <c r="Q297" s="877" t="s">
        <v>747</v>
      </c>
      <c r="R297" s="898">
        <v>1</v>
      </c>
      <c r="S297" s="878"/>
      <c r="T297" s="881">
        <v>0.01</v>
      </c>
      <c r="U297" s="878"/>
      <c r="V297" s="882">
        <f t="shared" si="46"/>
        <v>681.81818181818187</v>
      </c>
      <c r="W297" s="869">
        <v>1.3</v>
      </c>
      <c r="X297" s="870" t="s">
        <v>755</v>
      </c>
      <c r="Y297" s="883"/>
      <c r="Z297" s="883"/>
      <c r="AA297" s="884"/>
      <c r="AB297" s="869" t="s">
        <v>749</v>
      </c>
      <c r="AC297" s="869">
        <v>3</v>
      </c>
      <c r="AD297" s="870"/>
      <c r="AE297" s="902">
        <v>30000</v>
      </c>
      <c r="AF297" s="870"/>
      <c r="AG297" s="902">
        <f t="shared" si="47"/>
        <v>90000</v>
      </c>
      <c r="AI297" s="1003"/>
    </row>
    <row r="298" spans="1:35" ht="21.9" customHeight="1" x14ac:dyDescent="0.35">
      <c r="A298" s="841"/>
      <c r="F298" s="951"/>
      <c r="G298" s="951"/>
      <c r="L298" s="877">
        <v>1.4</v>
      </c>
      <c r="M298" s="878" t="s">
        <v>453</v>
      </c>
      <c r="N298" s="879"/>
      <c r="O298" s="879"/>
      <c r="P298" s="880"/>
      <c r="Q298" s="877" t="s">
        <v>747</v>
      </c>
      <c r="R298" s="877">
        <v>1</v>
      </c>
      <c r="S298" s="878"/>
      <c r="T298" s="881">
        <v>7.5200000000000003E-2</v>
      </c>
      <c r="U298" s="878"/>
      <c r="V298" s="882">
        <f t="shared" si="46"/>
        <v>5127.272727272727</v>
      </c>
      <c r="W298" s="869">
        <v>1.4</v>
      </c>
      <c r="X298" s="870" t="s">
        <v>454</v>
      </c>
      <c r="Y298" s="883"/>
      <c r="Z298" s="883"/>
      <c r="AA298" s="884"/>
      <c r="AB298" s="869" t="s">
        <v>749</v>
      </c>
      <c r="AC298" s="869">
        <v>0</v>
      </c>
      <c r="AD298" s="870"/>
      <c r="AE298" s="902">
        <v>0</v>
      </c>
      <c r="AF298" s="870"/>
      <c r="AG298" s="902">
        <f t="shared" si="47"/>
        <v>0</v>
      </c>
      <c r="AI298" s="1003"/>
    </row>
    <row r="299" spans="1:35" ht="21.9" customHeight="1" x14ac:dyDescent="0.35">
      <c r="A299" s="841"/>
      <c r="F299" s="951"/>
      <c r="G299" s="951"/>
      <c r="L299" s="900">
        <v>2</v>
      </c>
      <c r="M299" s="901" t="s">
        <v>455</v>
      </c>
      <c r="N299" s="879"/>
      <c r="O299" s="879"/>
      <c r="P299" s="880"/>
      <c r="Q299" s="877"/>
      <c r="R299" s="877"/>
      <c r="S299" s="878"/>
      <c r="T299" s="882">
        <v>0</v>
      </c>
      <c r="U299" s="878"/>
      <c r="V299" s="882">
        <f t="shared" si="46"/>
        <v>0</v>
      </c>
      <c r="W299" s="869">
        <v>1.5</v>
      </c>
      <c r="X299" s="870" t="s">
        <v>456</v>
      </c>
      <c r="Y299" s="883"/>
      <c r="Z299" s="883"/>
      <c r="AA299" s="884"/>
      <c r="AB299" s="869" t="s">
        <v>749</v>
      </c>
      <c r="AC299" s="869">
        <v>3</v>
      </c>
      <c r="AD299" s="870"/>
      <c r="AE299" s="902">
        <v>12000</v>
      </c>
      <c r="AF299" s="870"/>
      <c r="AG299" s="902">
        <f t="shared" si="47"/>
        <v>36000</v>
      </c>
      <c r="AI299" s="1003"/>
    </row>
    <row r="300" spans="1:35" ht="21.9" customHeight="1" x14ac:dyDescent="0.35">
      <c r="A300" s="841"/>
      <c r="F300" s="951"/>
      <c r="G300" s="951"/>
      <c r="L300" s="877">
        <v>2.1</v>
      </c>
      <c r="M300" s="878" t="s">
        <v>457</v>
      </c>
      <c r="N300" s="879"/>
      <c r="O300" s="879"/>
      <c r="P300" s="880"/>
      <c r="Q300" s="877" t="s">
        <v>747</v>
      </c>
      <c r="R300" s="877">
        <v>1</v>
      </c>
      <c r="S300" s="878"/>
      <c r="T300" s="881">
        <v>0.21340000000000001</v>
      </c>
      <c r="U300" s="878"/>
      <c r="V300" s="882">
        <f t="shared" si="46"/>
        <v>14550</v>
      </c>
      <c r="W300" s="869">
        <v>1.6</v>
      </c>
      <c r="X300" s="870" t="s">
        <v>458</v>
      </c>
      <c r="Y300" s="883"/>
      <c r="Z300" s="883"/>
      <c r="AA300" s="884"/>
      <c r="AB300" s="869" t="s">
        <v>749</v>
      </c>
      <c r="AC300" s="869">
        <v>2</v>
      </c>
      <c r="AD300" s="870"/>
      <c r="AE300" s="902">
        <v>8000</v>
      </c>
      <c r="AF300" s="870"/>
      <c r="AG300" s="902">
        <f t="shared" si="47"/>
        <v>16000</v>
      </c>
      <c r="AI300" s="1003"/>
    </row>
    <row r="301" spans="1:35" ht="21.9" customHeight="1" x14ac:dyDescent="0.35">
      <c r="A301" s="841"/>
      <c r="F301" s="951"/>
      <c r="G301" s="951"/>
      <c r="L301" s="877">
        <v>2.2000000000000002</v>
      </c>
      <c r="M301" s="878" t="s">
        <v>459</v>
      </c>
      <c r="N301" s="879"/>
      <c r="O301" s="879"/>
      <c r="P301" s="880"/>
      <c r="Q301" s="877" t="s">
        <v>747</v>
      </c>
      <c r="R301" s="877">
        <v>1</v>
      </c>
      <c r="S301" s="878"/>
      <c r="T301" s="881">
        <v>0.71379999999999999</v>
      </c>
      <c r="U301" s="878"/>
      <c r="V301" s="882">
        <f t="shared" si="46"/>
        <v>48668.181818181816</v>
      </c>
      <c r="W301" s="869">
        <v>1.7</v>
      </c>
      <c r="X301" s="870" t="s">
        <v>460</v>
      </c>
      <c r="Y301" s="883"/>
      <c r="Z301" s="883"/>
      <c r="AA301" s="884"/>
      <c r="AB301" s="869" t="s">
        <v>749</v>
      </c>
      <c r="AC301" s="869">
        <v>2</v>
      </c>
      <c r="AD301" s="870"/>
      <c r="AE301" s="902">
        <v>12000</v>
      </c>
      <c r="AF301" s="870"/>
      <c r="AG301" s="902">
        <f t="shared" si="47"/>
        <v>24000</v>
      </c>
      <c r="AI301" s="1003"/>
    </row>
    <row r="302" spans="1:35" ht="21.9" customHeight="1" x14ac:dyDescent="0.35">
      <c r="A302" s="841"/>
      <c r="F302" s="951"/>
      <c r="G302" s="951"/>
      <c r="L302" s="877">
        <v>2.2999999999999998</v>
      </c>
      <c r="M302" s="878" t="s">
        <v>461</v>
      </c>
      <c r="N302" s="879"/>
      <c r="O302" s="879"/>
      <c r="P302" s="880"/>
      <c r="Q302" s="877" t="s">
        <v>747</v>
      </c>
      <c r="R302" s="877">
        <v>1</v>
      </c>
      <c r="S302" s="878"/>
      <c r="T302" s="881">
        <v>2.4299999999999999E-2</v>
      </c>
      <c r="U302" s="878"/>
      <c r="V302" s="882">
        <f t="shared" si="46"/>
        <v>1656.8181818181818</v>
      </c>
      <c r="W302" s="869">
        <v>1.8</v>
      </c>
      <c r="X302" s="870" t="s">
        <v>462</v>
      </c>
      <c r="Y302" s="845"/>
      <c r="Z302" s="845"/>
      <c r="AA302" s="868"/>
      <c r="AB302" s="869" t="s">
        <v>749</v>
      </c>
      <c r="AC302" s="869">
        <v>2</v>
      </c>
      <c r="AD302" s="870"/>
      <c r="AE302" s="902">
        <v>8000</v>
      </c>
      <c r="AF302" s="870"/>
      <c r="AG302" s="902">
        <f t="shared" si="47"/>
        <v>16000</v>
      </c>
      <c r="AI302" s="1003"/>
    </row>
    <row r="303" spans="1:35" ht="21.9" customHeight="1" x14ac:dyDescent="0.35">
      <c r="A303" s="841"/>
      <c r="F303" s="951"/>
      <c r="G303" s="951"/>
      <c r="L303" s="877">
        <v>2.4</v>
      </c>
      <c r="M303" s="878" t="s">
        <v>463</v>
      </c>
      <c r="N303" s="879"/>
      <c r="O303" s="879"/>
      <c r="P303" s="880"/>
      <c r="Q303" s="877" t="s">
        <v>747</v>
      </c>
      <c r="R303" s="877">
        <v>1</v>
      </c>
      <c r="S303" s="878"/>
      <c r="T303" s="881">
        <v>2.9000000000000001E-2</v>
      </c>
      <c r="U303" s="878"/>
      <c r="V303" s="882">
        <f t="shared" si="46"/>
        <v>1977.2727272727273</v>
      </c>
      <c r="W303" s="869">
        <v>1.9</v>
      </c>
      <c r="X303" s="870" t="s">
        <v>464</v>
      </c>
      <c r="Y303" s="883"/>
      <c r="Z303" s="883"/>
      <c r="AA303" s="884"/>
      <c r="AB303" s="869" t="s">
        <v>749</v>
      </c>
      <c r="AC303" s="869">
        <v>0</v>
      </c>
      <c r="AD303" s="870"/>
      <c r="AE303" s="902">
        <v>0</v>
      </c>
      <c r="AF303" s="870"/>
      <c r="AG303" s="902">
        <f t="shared" si="47"/>
        <v>0</v>
      </c>
      <c r="AI303" s="1003"/>
    </row>
    <row r="304" spans="1:35" ht="21.9" customHeight="1" x14ac:dyDescent="0.35">
      <c r="A304" s="841"/>
      <c r="F304" s="951"/>
      <c r="G304" s="951"/>
      <c r="L304" s="877" t="s">
        <v>741</v>
      </c>
      <c r="M304" s="878" t="s">
        <v>741</v>
      </c>
      <c r="N304" s="879"/>
      <c r="O304" s="879"/>
      <c r="P304" s="880"/>
      <c r="Q304" s="877" t="s">
        <v>741</v>
      </c>
      <c r="R304" s="877" t="s">
        <v>741</v>
      </c>
      <c r="S304" s="878"/>
      <c r="T304" s="882">
        <v>0</v>
      </c>
      <c r="U304" s="878" t="s">
        <v>741</v>
      </c>
      <c r="V304" s="882">
        <f t="shared" si="46"/>
        <v>0</v>
      </c>
      <c r="W304" s="869" t="s">
        <v>741</v>
      </c>
      <c r="X304" s="870" t="s">
        <v>741</v>
      </c>
      <c r="Y304" s="883"/>
      <c r="Z304" s="883"/>
      <c r="AA304" s="884"/>
      <c r="AB304" s="869" t="s">
        <v>741</v>
      </c>
      <c r="AC304" s="869" t="s">
        <v>741</v>
      </c>
      <c r="AD304" s="870"/>
      <c r="AE304" s="871" t="s">
        <v>741</v>
      </c>
      <c r="AF304" s="870"/>
      <c r="AG304" s="902" t="s">
        <v>741</v>
      </c>
      <c r="AI304" s="1003"/>
    </row>
    <row r="305" spans="1:35" ht="21.9" customHeight="1" x14ac:dyDescent="0.35">
      <c r="A305" s="841"/>
      <c r="F305" s="951"/>
      <c r="G305" s="951"/>
      <c r="L305" s="877" t="s">
        <v>741</v>
      </c>
      <c r="M305" s="878" t="s">
        <v>741</v>
      </c>
      <c r="N305" s="879"/>
      <c r="O305" s="879"/>
      <c r="P305" s="880"/>
      <c r="Q305" s="877" t="s">
        <v>741</v>
      </c>
      <c r="R305" s="877" t="s">
        <v>741</v>
      </c>
      <c r="S305" s="878"/>
      <c r="T305" s="882">
        <v>0</v>
      </c>
      <c r="U305" s="878" t="s">
        <v>741</v>
      </c>
      <c r="V305" s="882">
        <f t="shared" si="46"/>
        <v>0</v>
      </c>
      <c r="W305" s="869" t="s">
        <v>741</v>
      </c>
      <c r="X305" s="870" t="s">
        <v>741</v>
      </c>
      <c r="Y305" s="883"/>
      <c r="Z305" s="883"/>
      <c r="AA305" s="884"/>
      <c r="AB305" s="869" t="s">
        <v>741</v>
      </c>
      <c r="AC305" s="869" t="s">
        <v>741</v>
      </c>
      <c r="AD305" s="870"/>
      <c r="AE305" s="871" t="s">
        <v>741</v>
      </c>
      <c r="AF305" s="870"/>
      <c r="AG305" s="902" t="s">
        <v>741</v>
      </c>
      <c r="AI305" s="1003"/>
    </row>
    <row r="306" spans="1:35" ht="21.9" customHeight="1" x14ac:dyDescent="0.35">
      <c r="A306" s="841"/>
      <c r="F306" s="951"/>
      <c r="G306" s="951"/>
      <c r="L306" s="903" t="s">
        <v>260</v>
      </c>
      <c r="M306" s="904"/>
      <c r="N306" s="904"/>
      <c r="O306" s="904"/>
      <c r="P306" s="904"/>
      <c r="Q306" s="904"/>
      <c r="R306" s="904"/>
      <c r="S306" s="904"/>
      <c r="T306" s="905"/>
      <c r="U306" s="906"/>
      <c r="V306" s="907">
        <f>SUM(V294:V305)</f>
        <v>117299.99999999999</v>
      </c>
      <c r="W306" s="908" t="s">
        <v>260</v>
      </c>
      <c r="X306" s="909"/>
      <c r="Y306" s="909"/>
      <c r="Z306" s="909"/>
      <c r="AA306" s="909"/>
      <c r="AB306" s="909"/>
      <c r="AC306" s="909"/>
      <c r="AD306" s="909"/>
      <c r="AE306" s="910"/>
      <c r="AF306" s="911"/>
      <c r="AG306" s="912">
        <f>SUM(AG295:AG305)</f>
        <v>232000</v>
      </c>
      <c r="AI306" s="1003"/>
    </row>
    <row r="307" spans="1:35" ht="21.9" customHeight="1" x14ac:dyDescent="0.35">
      <c r="A307" s="841"/>
      <c r="F307" s="951"/>
      <c r="G307" s="951"/>
      <c r="L307" s="831"/>
      <c r="M307" s="831"/>
      <c r="N307" s="831"/>
      <c r="O307" s="831"/>
      <c r="P307" s="831"/>
      <c r="Q307" s="831"/>
      <c r="R307" s="831"/>
      <c r="S307" s="831"/>
      <c r="T307" s="831"/>
      <c r="U307" s="831"/>
      <c r="V307" s="831"/>
      <c r="W307" s="984" t="s">
        <v>741</v>
      </c>
      <c r="X307" s="862" t="s">
        <v>741</v>
      </c>
      <c r="Y307" s="862"/>
      <c r="Z307" s="862"/>
      <c r="AA307" s="862"/>
      <c r="AB307" s="984" t="s">
        <v>741</v>
      </c>
      <c r="AC307" s="984" t="s">
        <v>741</v>
      </c>
      <c r="AD307" s="862"/>
      <c r="AE307" s="985" t="s">
        <v>741</v>
      </c>
      <c r="AF307" s="862"/>
      <c r="AG307" s="985" t="s">
        <v>741</v>
      </c>
      <c r="AI307" s="1003"/>
    </row>
    <row r="308" spans="1:35" ht="21.9" customHeight="1" x14ac:dyDescent="0.35">
      <c r="A308" s="841"/>
      <c r="F308" s="951"/>
      <c r="G308" s="951"/>
      <c r="L308" s="831"/>
      <c r="M308" s="837" t="s">
        <v>573</v>
      </c>
      <c r="N308" s="837"/>
      <c r="O308" s="837"/>
      <c r="P308" s="837">
        <v>200</v>
      </c>
      <c r="Q308" s="837" t="s">
        <v>660</v>
      </c>
      <c r="R308" s="831"/>
      <c r="S308" s="838" t="s">
        <v>518</v>
      </c>
      <c r="T308" s="837">
        <f>E27</f>
        <v>24</v>
      </c>
      <c r="U308" s="839" t="s">
        <v>519</v>
      </c>
      <c r="V308" s="831"/>
      <c r="W308" s="883"/>
      <c r="X308" s="837" t="s">
        <v>574</v>
      </c>
      <c r="Y308" s="837"/>
      <c r="Z308" s="837"/>
      <c r="AA308" s="837">
        <v>200</v>
      </c>
      <c r="AB308" s="837" t="s">
        <v>660</v>
      </c>
      <c r="AC308" s="831"/>
      <c r="AD308" s="838" t="s">
        <v>518</v>
      </c>
      <c r="AE308" s="837">
        <f>E27</f>
        <v>24</v>
      </c>
      <c r="AF308" s="839" t="s">
        <v>519</v>
      </c>
      <c r="AG308" s="831"/>
      <c r="AI308" s="1003"/>
    </row>
    <row r="309" spans="1:35" ht="21.9" customHeight="1" x14ac:dyDescent="0.35">
      <c r="A309" s="841"/>
      <c r="F309" s="951"/>
      <c r="G309" s="951"/>
      <c r="L309" s="847" t="s">
        <v>522</v>
      </c>
      <c r="M309" s="848" t="s">
        <v>523</v>
      </c>
      <c r="N309" s="849"/>
      <c r="O309" s="849"/>
      <c r="P309" s="850"/>
      <c r="Q309" s="847" t="s">
        <v>524</v>
      </c>
      <c r="R309" s="847" t="s">
        <v>525</v>
      </c>
      <c r="S309" s="851" t="s">
        <v>526</v>
      </c>
      <c r="T309" s="852"/>
      <c r="U309" s="851" t="s">
        <v>527</v>
      </c>
      <c r="V309" s="852"/>
      <c r="W309" s="847" t="s">
        <v>522</v>
      </c>
      <c r="X309" s="848" t="s">
        <v>523</v>
      </c>
      <c r="Y309" s="849"/>
      <c r="Z309" s="849"/>
      <c r="AA309" s="850"/>
      <c r="AB309" s="847" t="s">
        <v>524</v>
      </c>
      <c r="AC309" s="847" t="s">
        <v>525</v>
      </c>
      <c r="AD309" s="851" t="s">
        <v>528</v>
      </c>
      <c r="AE309" s="852"/>
      <c r="AF309" s="851" t="s">
        <v>529</v>
      </c>
      <c r="AG309" s="852"/>
      <c r="AI309" s="1003"/>
    </row>
    <row r="310" spans="1:35" ht="21.9" customHeight="1" x14ac:dyDescent="0.35">
      <c r="A310" s="841"/>
      <c r="F310" s="951"/>
      <c r="G310" s="951"/>
      <c r="L310" s="854"/>
      <c r="M310" s="855"/>
      <c r="N310" s="856"/>
      <c r="O310" s="856"/>
      <c r="P310" s="857"/>
      <c r="Q310" s="854"/>
      <c r="R310" s="854"/>
      <c r="S310" s="858" t="s">
        <v>533</v>
      </c>
      <c r="T310" s="859"/>
      <c r="U310" s="858" t="s">
        <v>732</v>
      </c>
      <c r="V310" s="859"/>
      <c r="W310" s="854"/>
      <c r="X310" s="855"/>
      <c r="Y310" s="856"/>
      <c r="Z310" s="856"/>
      <c r="AA310" s="857"/>
      <c r="AB310" s="854"/>
      <c r="AC310" s="854"/>
      <c r="AD310" s="858" t="s">
        <v>733</v>
      </c>
      <c r="AE310" s="859"/>
      <c r="AF310" s="858" t="s">
        <v>732</v>
      </c>
      <c r="AG310" s="859"/>
      <c r="AI310" s="1003"/>
    </row>
    <row r="311" spans="1:35" ht="21.9" customHeight="1" x14ac:dyDescent="0.35">
      <c r="A311" s="841"/>
      <c r="F311" s="951"/>
      <c r="G311" s="951"/>
      <c r="L311" s="860">
        <v>1</v>
      </c>
      <c r="M311" s="861" t="s">
        <v>739</v>
      </c>
      <c r="N311" s="862"/>
      <c r="O311" s="862"/>
      <c r="P311" s="863"/>
      <c r="Q311" s="864"/>
      <c r="R311" s="864"/>
      <c r="S311" s="865"/>
      <c r="T311" s="863"/>
      <c r="U311" s="865"/>
      <c r="V311" s="863"/>
      <c r="W311" s="866">
        <v>1</v>
      </c>
      <c r="X311" s="867" t="s">
        <v>740</v>
      </c>
      <c r="Y311" s="845"/>
      <c r="Z311" s="845"/>
      <c r="AA311" s="868"/>
      <c r="AB311" s="869"/>
      <c r="AC311" s="869"/>
      <c r="AD311" s="870"/>
      <c r="AE311" s="871"/>
      <c r="AF311" s="870"/>
      <c r="AG311" s="872" t="s">
        <v>741</v>
      </c>
      <c r="AI311" s="1003"/>
    </row>
    <row r="312" spans="1:35" ht="21.9" customHeight="1" x14ac:dyDescent="0.35">
      <c r="A312" s="841"/>
      <c r="F312" s="951"/>
      <c r="G312" s="951"/>
      <c r="L312" s="877">
        <v>1.1000000000000001</v>
      </c>
      <c r="M312" s="878" t="s">
        <v>1437</v>
      </c>
      <c r="N312" s="879"/>
      <c r="O312" s="879"/>
      <c r="P312" s="880"/>
      <c r="Q312" s="877" t="s">
        <v>747</v>
      </c>
      <c r="R312" s="877">
        <v>1</v>
      </c>
      <c r="S312" s="878"/>
      <c r="T312" s="881">
        <v>3.0499999999999999E-2</v>
      </c>
      <c r="U312" s="878"/>
      <c r="V312" s="882">
        <f t="shared" ref="V312:V322" si="48">((($P$308*1000000)*T312)/100)/$T$308</f>
        <v>2541.6666666666665</v>
      </c>
      <c r="W312" s="869">
        <v>1.1000000000000001</v>
      </c>
      <c r="X312" s="870" t="s">
        <v>748</v>
      </c>
      <c r="Y312" s="883"/>
      <c r="Z312" s="883"/>
      <c r="AA312" s="884"/>
      <c r="AB312" s="869" t="s">
        <v>749</v>
      </c>
      <c r="AC312" s="869">
        <v>1</v>
      </c>
      <c r="AD312" s="870"/>
      <c r="AE312" s="957">
        <v>50000</v>
      </c>
      <c r="AF312" s="870"/>
      <c r="AG312" s="902">
        <f t="shared" ref="AG312:AG320" si="49">(AC312*AE312)</f>
        <v>50000</v>
      </c>
      <c r="AI312" s="1003"/>
    </row>
    <row r="313" spans="1:35" ht="21.9" customHeight="1" x14ac:dyDescent="0.35">
      <c r="A313" s="841"/>
      <c r="F313" s="951"/>
      <c r="G313" s="951"/>
      <c r="L313" s="877">
        <v>1.2</v>
      </c>
      <c r="M313" s="878" t="s">
        <v>752</v>
      </c>
      <c r="N313" s="879"/>
      <c r="O313" s="879"/>
      <c r="P313" s="880"/>
      <c r="Q313" s="877" t="s">
        <v>747</v>
      </c>
      <c r="R313" s="877">
        <v>1</v>
      </c>
      <c r="S313" s="878"/>
      <c r="T313" s="881">
        <v>0.62419999999999998</v>
      </c>
      <c r="U313" s="878"/>
      <c r="V313" s="882">
        <f t="shared" si="48"/>
        <v>52016.666666666664</v>
      </c>
      <c r="W313" s="869">
        <v>1.2</v>
      </c>
      <c r="X313" s="870" t="s">
        <v>753</v>
      </c>
      <c r="Y313" s="883"/>
      <c r="Z313" s="883"/>
      <c r="AA313" s="884"/>
      <c r="AB313" s="869" t="s">
        <v>749</v>
      </c>
      <c r="AC313" s="869">
        <v>0</v>
      </c>
      <c r="AD313" s="870"/>
      <c r="AE313" s="902">
        <v>0</v>
      </c>
      <c r="AF313" s="870"/>
      <c r="AG313" s="902">
        <f t="shared" si="49"/>
        <v>0</v>
      </c>
      <c r="AI313" s="1003"/>
    </row>
    <row r="314" spans="1:35" ht="21.9" customHeight="1" x14ac:dyDescent="0.35">
      <c r="A314" s="841"/>
      <c r="F314" s="951"/>
      <c r="G314" s="951"/>
      <c r="L314" s="877">
        <v>1.3</v>
      </c>
      <c r="M314" s="878" t="s">
        <v>754</v>
      </c>
      <c r="N314" s="879"/>
      <c r="O314" s="879"/>
      <c r="P314" s="880"/>
      <c r="Q314" s="877" t="s">
        <v>747</v>
      </c>
      <c r="R314" s="898">
        <v>1</v>
      </c>
      <c r="S314" s="878"/>
      <c r="T314" s="881">
        <v>0.01</v>
      </c>
      <c r="U314" s="878"/>
      <c r="V314" s="882">
        <f t="shared" si="48"/>
        <v>833.33333333333337</v>
      </c>
      <c r="W314" s="869">
        <v>1.3</v>
      </c>
      <c r="X314" s="870" t="s">
        <v>755</v>
      </c>
      <c r="Y314" s="883"/>
      <c r="Z314" s="883"/>
      <c r="AA314" s="884"/>
      <c r="AB314" s="869" t="s">
        <v>749</v>
      </c>
      <c r="AC314" s="869">
        <v>3</v>
      </c>
      <c r="AD314" s="870"/>
      <c r="AE314" s="902">
        <v>30000</v>
      </c>
      <c r="AF314" s="870"/>
      <c r="AG314" s="902">
        <f t="shared" si="49"/>
        <v>90000</v>
      </c>
      <c r="AI314" s="1003"/>
    </row>
    <row r="315" spans="1:35" ht="21.9" customHeight="1" x14ac:dyDescent="0.35">
      <c r="A315" s="841"/>
      <c r="F315" s="951"/>
      <c r="G315" s="951"/>
      <c r="L315" s="877">
        <v>1.4</v>
      </c>
      <c r="M315" s="878" t="s">
        <v>453</v>
      </c>
      <c r="N315" s="879"/>
      <c r="O315" s="879"/>
      <c r="P315" s="880"/>
      <c r="Q315" s="877" t="s">
        <v>747</v>
      </c>
      <c r="R315" s="877">
        <v>1</v>
      </c>
      <c r="S315" s="878"/>
      <c r="T315" s="881">
        <v>7.5200000000000003E-2</v>
      </c>
      <c r="U315" s="878"/>
      <c r="V315" s="882">
        <f t="shared" si="48"/>
        <v>6266.666666666667</v>
      </c>
      <c r="W315" s="869">
        <v>1.4</v>
      </c>
      <c r="X315" s="870" t="s">
        <v>454</v>
      </c>
      <c r="Y315" s="883"/>
      <c r="Z315" s="883"/>
      <c r="AA315" s="884"/>
      <c r="AB315" s="869" t="s">
        <v>749</v>
      </c>
      <c r="AC315" s="869">
        <v>0</v>
      </c>
      <c r="AD315" s="870"/>
      <c r="AE315" s="902">
        <v>0</v>
      </c>
      <c r="AF315" s="870"/>
      <c r="AG315" s="902">
        <f t="shared" si="49"/>
        <v>0</v>
      </c>
      <c r="AI315" s="1003"/>
    </row>
    <row r="316" spans="1:35" ht="21.9" customHeight="1" x14ac:dyDescent="0.35">
      <c r="A316" s="841"/>
      <c r="F316" s="951"/>
      <c r="G316" s="951"/>
      <c r="L316" s="900">
        <v>2</v>
      </c>
      <c r="M316" s="901" t="s">
        <v>455</v>
      </c>
      <c r="N316" s="879"/>
      <c r="O316" s="879"/>
      <c r="P316" s="880"/>
      <c r="Q316" s="877"/>
      <c r="R316" s="877"/>
      <c r="S316" s="878"/>
      <c r="T316" s="882">
        <v>0</v>
      </c>
      <c r="U316" s="878"/>
      <c r="V316" s="882">
        <f t="shared" si="48"/>
        <v>0</v>
      </c>
      <c r="W316" s="869">
        <v>1.5</v>
      </c>
      <c r="X316" s="870" t="s">
        <v>456</v>
      </c>
      <c r="Y316" s="883"/>
      <c r="Z316" s="883"/>
      <c r="AA316" s="884"/>
      <c r="AB316" s="869" t="s">
        <v>749</v>
      </c>
      <c r="AC316" s="869">
        <v>3</v>
      </c>
      <c r="AD316" s="870"/>
      <c r="AE316" s="902">
        <v>12000</v>
      </c>
      <c r="AF316" s="870"/>
      <c r="AG316" s="902">
        <f t="shared" si="49"/>
        <v>36000</v>
      </c>
      <c r="AI316" s="1003"/>
    </row>
    <row r="317" spans="1:35" ht="21.9" customHeight="1" x14ac:dyDescent="0.35">
      <c r="A317" s="841"/>
      <c r="F317" s="951"/>
      <c r="G317" s="951"/>
      <c r="L317" s="877">
        <v>2.1</v>
      </c>
      <c r="M317" s="878" t="s">
        <v>457</v>
      </c>
      <c r="N317" s="879"/>
      <c r="O317" s="879"/>
      <c r="P317" s="880"/>
      <c r="Q317" s="877" t="s">
        <v>747</v>
      </c>
      <c r="R317" s="877">
        <v>1</v>
      </c>
      <c r="S317" s="878"/>
      <c r="T317" s="881">
        <v>0.20150000000000001</v>
      </c>
      <c r="U317" s="878"/>
      <c r="V317" s="882">
        <f t="shared" si="48"/>
        <v>16791.666666666668</v>
      </c>
      <c r="W317" s="869">
        <v>1.6</v>
      </c>
      <c r="X317" s="870" t="s">
        <v>458</v>
      </c>
      <c r="Y317" s="883"/>
      <c r="Z317" s="883"/>
      <c r="AA317" s="884"/>
      <c r="AB317" s="869" t="s">
        <v>749</v>
      </c>
      <c r="AC317" s="869">
        <v>2</v>
      </c>
      <c r="AD317" s="870"/>
      <c r="AE317" s="902">
        <v>8000</v>
      </c>
      <c r="AF317" s="870"/>
      <c r="AG317" s="902">
        <f t="shared" si="49"/>
        <v>16000</v>
      </c>
      <c r="AI317" s="1003"/>
    </row>
    <row r="318" spans="1:35" ht="21.9" customHeight="1" x14ac:dyDescent="0.35">
      <c r="A318" s="841"/>
      <c r="F318" s="951"/>
      <c r="G318" s="951"/>
      <c r="L318" s="877">
        <v>2.2000000000000002</v>
      </c>
      <c r="M318" s="878" t="s">
        <v>459</v>
      </c>
      <c r="N318" s="879"/>
      <c r="O318" s="879"/>
      <c r="P318" s="880"/>
      <c r="Q318" s="877" t="s">
        <v>747</v>
      </c>
      <c r="R318" s="877">
        <v>1</v>
      </c>
      <c r="S318" s="878"/>
      <c r="T318" s="881">
        <v>0.70340000000000003</v>
      </c>
      <c r="U318" s="878"/>
      <c r="V318" s="882">
        <f t="shared" si="48"/>
        <v>58616.666666666664</v>
      </c>
      <c r="W318" s="869">
        <v>1.7</v>
      </c>
      <c r="X318" s="870" t="s">
        <v>460</v>
      </c>
      <c r="Y318" s="883"/>
      <c r="Z318" s="883"/>
      <c r="AA318" s="884"/>
      <c r="AB318" s="869" t="s">
        <v>749</v>
      </c>
      <c r="AC318" s="869">
        <v>2</v>
      </c>
      <c r="AD318" s="870"/>
      <c r="AE318" s="902">
        <v>12000</v>
      </c>
      <c r="AF318" s="870"/>
      <c r="AG318" s="902">
        <f t="shared" si="49"/>
        <v>24000</v>
      </c>
      <c r="AI318" s="1003"/>
    </row>
    <row r="319" spans="1:35" ht="21.9" customHeight="1" x14ac:dyDescent="0.35">
      <c r="A319" s="841"/>
      <c r="F319" s="951"/>
      <c r="G319" s="951"/>
      <c r="L319" s="877">
        <v>2.2999999999999998</v>
      </c>
      <c r="M319" s="878" t="s">
        <v>461</v>
      </c>
      <c r="N319" s="879"/>
      <c r="O319" s="879"/>
      <c r="P319" s="880"/>
      <c r="Q319" s="877" t="s">
        <v>747</v>
      </c>
      <c r="R319" s="877">
        <v>1</v>
      </c>
      <c r="S319" s="878"/>
      <c r="T319" s="881">
        <v>2.4299999999999999E-2</v>
      </c>
      <c r="U319" s="878"/>
      <c r="V319" s="882">
        <f t="shared" si="48"/>
        <v>2025</v>
      </c>
      <c r="W319" s="869">
        <v>1.8</v>
      </c>
      <c r="X319" s="870" t="s">
        <v>462</v>
      </c>
      <c r="Y319" s="845"/>
      <c r="Z319" s="845"/>
      <c r="AA319" s="868"/>
      <c r="AB319" s="869" t="s">
        <v>749</v>
      </c>
      <c r="AC319" s="869">
        <v>2</v>
      </c>
      <c r="AD319" s="870"/>
      <c r="AE319" s="902">
        <v>8000</v>
      </c>
      <c r="AF319" s="870"/>
      <c r="AG319" s="902">
        <f t="shared" si="49"/>
        <v>16000</v>
      </c>
      <c r="AI319" s="1003"/>
    </row>
    <row r="320" spans="1:35" ht="21.9" customHeight="1" x14ac:dyDescent="0.35">
      <c r="A320" s="841"/>
      <c r="F320" s="951"/>
      <c r="G320" s="951"/>
      <c r="L320" s="877">
        <v>2.4</v>
      </c>
      <c r="M320" s="878" t="s">
        <v>463</v>
      </c>
      <c r="N320" s="879"/>
      <c r="O320" s="879"/>
      <c r="P320" s="880"/>
      <c r="Q320" s="877" t="s">
        <v>747</v>
      </c>
      <c r="R320" s="877">
        <v>1</v>
      </c>
      <c r="S320" s="878"/>
      <c r="T320" s="881">
        <v>2.9000000000000001E-2</v>
      </c>
      <c r="U320" s="878"/>
      <c r="V320" s="882">
        <f t="shared" si="48"/>
        <v>2416.6666666666665</v>
      </c>
      <c r="W320" s="869">
        <v>1.9</v>
      </c>
      <c r="X320" s="870" t="s">
        <v>464</v>
      </c>
      <c r="Y320" s="883"/>
      <c r="Z320" s="883"/>
      <c r="AA320" s="884"/>
      <c r="AB320" s="869" t="s">
        <v>749</v>
      </c>
      <c r="AC320" s="869">
        <v>0</v>
      </c>
      <c r="AD320" s="870"/>
      <c r="AE320" s="902">
        <v>0</v>
      </c>
      <c r="AF320" s="870"/>
      <c r="AG320" s="902">
        <f t="shared" si="49"/>
        <v>0</v>
      </c>
      <c r="AI320" s="1003"/>
    </row>
    <row r="321" spans="1:35" ht="21.9" customHeight="1" x14ac:dyDescent="0.35">
      <c r="A321" s="841"/>
      <c r="F321" s="951"/>
      <c r="G321" s="951"/>
      <c r="L321" s="877" t="s">
        <v>741</v>
      </c>
      <c r="M321" s="878" t="s">
        <v>741</v>
      </c>
      <c r="N321" s="879"/>
      <c r="O321" s="879"/>
      <c r="P321" s="880"/>
      <c r="Q321" s="877" t="s">
        <v>741</v>
      </c>
      <c r="R321" s="877" t="s">
        <v>741</v>
      </c>
      <c r="S321" s="878"/>
      <c r="T321" s="882">
        <v>0</v>
      </c>
      <c r="U321" s="878" t="s">
        <v>741</v>
      </c>
      <c r="V321" s="882">
        <f t="shared" si="48"/>
        <v>0</v>
      </c>
      <c r="W321" s="869" t="s">
        <v>741</v>
      </c>
      <c r="X321" s="870" t="s">
        <v>741</v>
      </c>
      <c r="Y321" s="845"/>
      <c r="Z321" s="845"/>
      <c r="AA321" s="868"/>
      <c r="AB321" s="869" t="s">
        <v>741</v>
      </c>
      <c r="AC321" s="869" t="s">
        <v>741</v>
      </c>
      <c r="AD321" s="870"/>
      <c r="AE321" s="871"/>
      <c r="AF321" s="870"/>
      <c r="AG321" s="902" t="s">
        <v>741</v>
      </c>
      <c r="AI321" s="1003"/>
    </row>
    <row r="322" spans="1:35" ht="21.9" customHeight="1" x14ac:dyDescent="0.35">
      <c r="A322" s="841"/>
      <c r="F322" s="951"/>
      <c r="G322" s="951"/>
      <c r="L322" s="877" t="s">
        <v>741</v>
      </c>
      <c r="M322" s="878" t="s">
        <v>741</v>
      </c>
      <c r="N322" s="879"/>
      <c r="O322" s="879"/>
      <c r="P322" s="880"/>
      <c r="Q322" s="877" t="s">
        <v>741</v>
      </c>
      <c r="R322" s="877" t="s">
        <v>741</v>
      </c>
      <c r="S322" s="878"/>
      <c r="T322" s="882">
        <v>0</v>
      </c>
      <c r="U322" s="878" t="s">
        <v>741</v>
      </c>
      <c r="V322" s="882">
        <f t="shared" si="48"/>
        <v>0</v>
      </c>
      <c r="W322" s="869" t="s">
        <v>741</v>
      </c>
      <c r="X322" s="870" t="s">
        <v>741</v>
      </c>
      <c r="Y322" s="883"/>
      <c r="Z322" s="883"/>
      <c r="AA322" s="884"/>
      <c r="AB322" s="869" t="s">
        <v>741</v>
      </c>
      <c r="AC322" s="869" t="s">
        <v>741</v>
      </c>
      <c r="AD322" s="870"/>
      <c r="AE322" s="871" t="s">
        <v>741</v>
      </c>
      <c r="AF322" s="870"/>
      <c r="AG322" s="902" t="s">
        <v>741</v>
      </c>
      <c r="AI322" s="1003"/>
    </row>
    <row r="323" spans="1:35" ht="21.9" customHeight="1" x14ac:dyDescent="0.35">
      <c r="A323" s="841"/>
      <c r="F323" s="951"/>
      <c r="G323" s="951"/>
      <c r="L323" s="903" t="s">
        <v>260</v>
      </c>
      <c r="M323" s="904"/>
      <c r="N323" s="904"/>
      <c r="O323" s="904"/>
      <c r="P323" s="904"/>
      <c r="Q323" s="904"/>
      <c r="R323" s="904"/>
      <c r="S323" s="904"/>
      <c r="T323" s="905"/>
      <c r="U323" s="906"/>
      <c r="V323" s="907">
        <f>SUM(V311:V322)</f>
        <v>141508.33333333331</v>
      </c>
      <c r="W323" s="908" t="s">
        <v>260</v>
      </c>
      <c r="X323" s="909"/>
      <c r="Y323" s="909"/>
      <c r="Z323" s="909"/>
      <c r="AA323" s="909"/>
      <c r="AB323" s="909"/>
      <c r="AC323" s="909"/>
      <c r="AD323" s="909"/>
      <c r="AE323" s="910"/>
      <c r="AF323" s="911"/>
      <c r="AG323" s="912">
        <f>SUM(AG312:AG322)</f>
        <v>232000</v>
      </c>
      <c r="AI323" s="1003"/>
    </row>
    <row r="324" spans="1:35" ht="21.9" customHeight="1" x14ac:dyDescent="0.35">
      <c r="A324" s="841"/>
      <c r="F324" s="951"/>
      <c r="G324" s="951"/>
      <c r="L324" s="831"/>
      <c r="M324" s="831"/>
      <c r="N324" s="831"/>
      <c r="O324" s="831"/>
      <c r="P324" s="831"/>
      <c r="Q324" s="831"/>
      <c r="R324" s="831"/>
      <c r="S324" s="831"/>
      <c r="T324" s="831"/>
      <c r="U324" s="831"/>
      <c r="V324" s="831"/>
      <c r="AI324" s="1003"/>
    </row>
    <row r="325" spans="1:35" ht="21.9" customHeight="1" x14ac:dyDescent="0.35">
      <c r="A325" s="841"/>
      <c r="F325" s="951"/>
      <c r="G325" s="951"/>
      <c r="L325" s="930" t="s">
        <v>575</v>
      </c>
      <c r="M325" s="930"/>
      <c r="N325" s="930"/>
      <c r="O325" s="930"/>
      <c r="P325" s="930"/>
      <c r="Q325" s="930"/>
      <c r="R325" s="930"/>
      <c r="S325" s="930"/>
      <c r="T325" s="930"/>
      <c r="U325" s="930"/>
      <c r="V325" s="930"/>
      <c r="W325" s="828" t="s">
        <v>576</v>
      </c>
      <c r="X325" s="828"/>
      <c r="Y325" s="828"/>
      <c r="Z325" s="828"/>
      <c r="AA325" s="828"/>
      <c r="AB325" s="828"/>
      <c r="AC325" s="828"/>
      <c r="AD325" s="828"/>
      <c r="AE325" s="828"/>
      <c r="AF325" s="828"/>
      <c r="AG325" s="828"/>
      <c r="AI325" s="1003"/>
    </row>
    <row r="326" spans="1:35" ht="21.9" customHeight="1" x14ac:dyDescent="0.35">
      <c r="A326" s="841"/>
      <c r="F326" s="951"/>
      <c r="G326" s="951"/>
      <c r="L326" s="831"/>
      <c r="M326" s="831"/>
      <c r="N326" s="831"/>
      <c r="O326" s="831"/>
      <c r="P326" s="831"/>
      <c r="Q326" s="831"/>
      <c r="R326" s="831"/>
      <c r="S326" s="831"/>
      <c r="T326" s="831"/>
      <c r="U326" s="831"/>
      <c r="V326" s="831"/>
      <c r="AI326" s="1003"/>
    </row>
    <row r="327" spans="1:35" ht="21.9" customHeight="1" x14ac:dyDescent="0.35">
      <c r="A327" s="841"/>
      <c r="F327" s="951"/>
      <c r="G327" s="951"/>
      <c r="L327" s="831"/>
      <c r="M327" s="837" t="s">
        <v>577</v>
      </c>
      <c r="N327" s="837"/>
      <c r="O327" s="837"/>
      <c r="P327" s="837">
        <v>250</v>
      </c>
      <c r="Q327" s="837" t="s">
        <v>660</v>
      </c>
      <c r="R327" s="831"/>
      <c r="S327" s="838" t="s">
        <v>518</v>
      </c>
      <c r="T327" s="837">
        <f>E28</f>
        <v>28</v>
      </c>
      <c r="U327" s="839" t="s">
        <v>519</v>
      </c>
      <c r="V327" s="831"/>
      <c r="X327" s="840" t="s">
        <v>578</v>
      </c>
      <c r="Y327" s="840"/>
      <c r="Z327" s="840"/>
      <c r="AA327" s="840">
        <v>250</v>
      </c>
      <c r="AB327" s="840" t="s">
        <v>660</v>
      </c>
      <c r="AD327" s="838" t="s">
        <v>518</v>
      </c>
      <c r="AE327" s="837">
        <f>E28</f>
        <v>28</v>
      </c>
      <c r="AF327" s="839" t="s">
        <v>519</v>
      </c>
      <c r="AI327" s="1003"/>
    </row>
    <row r="328" spans="1:35" ht="21.9" customHeight="1" x14ac:dyDescent="0.35">
      <c r="A328" s="841"/>
      <c r="F328" s="951"/>
      <c r="G328" s="951"/>
      <c r="L328" s="847" t="s">
        <v>522</v>
      </c>
      <c r="M328" s="848" t="s">
        <v>523</v>
      </c>
      <c r="N328" s="849"/>
      <c r="O328" s="849"/>
      <c r="P328" s="850"/>
      <c r="Q328" s="847" t="s">
        <v>524</v>
      </c>
      <c r="R328" s="847" t="s">
        <v>525</v>
      </c>
      <c r="S328" s="851" t="s">
        <v>526</v>
      </c>
      <c r="T328" s="852"/>
      <c r="U328" s="851" t="s">
        <v>527</v>
      </c>
      <c r="V328" s="852"/>
      <c r="W328" s="847" t="s">
        <v>522</v>
      </c>
      <c r="X328" s="848" t="s">
        <v>523</v>
      </c>
      <c r="Y328" s="849"/>
      <c r="Z328" s="849"/>
      <c r="AA328" s="850"/>
      <c r="AB328" s="847" t="s">
        <v>524</v>
      </c>
      <c r="AC328" s="847" t="s">
        <v>525</v>
      </c>
      <c r="AD328" s="851" t="s">
        <v>528</v>
      </c>
      <c r="AE328" s="852"/>
      <c r="AF328" s="851" t="s">
        <v>529</v>
      </c>
      <c r="AG328" s="852"/>
      <c r="AI328" s="1003"/>
    </row>
    <row r="329" spans="1:35" ht="21.9" customHeight="1" x14ac:dyDescent="0.35">
      <c r="A329" s="841"/>
      <c r="F329" s="951"/>
      <c r="G329" s="951"/>
      <c r="L329" s="854"/>
      <c r="M329" s="855"/>
      <c r="N329" s="856"/>
      <c r="O329" s="856"/>
      <c r="P329" s="857"/>
      <c r="Q329" s="854"/>
      <c r="R329" s="854"/>
      <c r="S329" s="858" t="s">
        <v>533</v>
      </c>
      <c r="T329" s="859"/>
      <c r="U329" s="858" t="s">
        <v>732</v>
      </c>
      <c r="V329" s="859"/>
      <c r="W329" s="854"/>
      <c r="X329" s="855"/>
      <c r="Y329" s="856"/>
      <c r="Z329" s="856"/>
      <c r="AA329" s="857"/>
      <c r="AB329" s="854"/>
      <c r="AC329" s="854"/>
      <c r="AD329" s="858" t="s">
        <v>733</v>
      </c>
      <c r="AE329" s="859"/>
      <c r="AF329" s="858" t="s">
        <v>732</v>
      </c>
      <c r="AG329" s="859"/>
      <c r="AI329" s="1003"/>
    </row>
    <row r="330" spans="1:35" ht="21.9" customHeight="1" x14ac:dyDescent="0.35">
      <c r="A330" s="841"/>
      <c r="F330" s="951"/>
      <c r="G330" s="951"/>
      <c r="L330" s="860">
        <v>1</v>
      </c>
      <c r="M330" s="861" t="s">
        <v>739</v>
      </c>
      <c r="N330" s="862"/>
      <c r="O330" s="862"/>
      <c r="P330" s="863"/>
      <c r="Q330" s="864"/>
      <c r="R330" s="864"/>
      <c r="S330" s="865"/>
      <c r="T330" s="863"/>
      <c r="U330" s="865"/>
      <c r="V330" s="863"/>
      <c r="W330" s="866">
        <v>1</v>
      </c>
      <c r="X330" s="867" t="s">
        <v>740</v>
      </c>
      <c r="Y330" s="845"/>
      <c r="Z330" s="845"/>
      <c r="AA330" s="868"/>
      <c r="AB330" s="869"/>
      <c r="AC330" s="869"/>
      <c r="AD330" s="870"/>
      <c r="AE330" s="871"/>
      <c r="AF330" s="870"/>
      <c r="AG330" s="872" t="s">
        <v>741</v>
      </c>
      <c r="AI330" s="1003"/>
    </row>
    <row r="331" spans="1:35" ht="21.9" customHeight="1" x14ac:dyDescent="0.35">
      <c r="A331" s="841"/>
      <c r="F331" s="951"/>
      <c r="G331" s="951"/>
      <c r="L331" s="877">
        <v>1.1000000000000001</v>
      </c>
      <c r="M331" s="878" t="s">
        <v>1437</v>
      </c>
      <c r="N331" s="879"/>
      <c r="O331" s="879"/>
      <c r="P331" s="880"/>
      <c r="Q331" s="877" t="s">
        <v>747</v>
      </c>
      <c r="R331" s="877">
        <v>1</v>
      </c>
      <c r="S331" s="878"/>
      <c r="T331" s="881">
        <v>3.0499999999999999E-2</v>
      </c>
      <c r="U331" s="878"/>
      <c r="V331" s="882">
        <f t="shared" ref="V331:V341" si="50">((($P$327*1000000)*T331)/100)/$T$327</f>
        <v>2723.2142857142858</v>
      </c>
      <c r="W331" s="869">
        <v>1.1000000000000001</v>
      </c>
      <c r="X331" s="870" t="s">
        <v>748</v>
      </c>
      <c r="Y331" s="883"/>
      <c r="Z331" s="883"/>
      <c r="AA331" s="884"/>
      <c r="AB331" s="869" t="s">
        <v>749</v>
      </c>
      <c r="AC331" s="869">
        <v>1</v>
      </c>
      <c r="AD331" s="870"/>
      <c r="AE331" s="957">
        <v>50000</v>
      </c>
      <c r="AF331" s="870"/>
      <c r="AG331" s="902">
        <f t="shared" ref="AG331:AG339" si="51">(AC331*AE331)</f>
        <v>50000</v>
      </c>
      <c r="AI331" s="1003"/>
    </row>
    <row r="332" spans="1:35" ht="21.9" customHeight="1" x14ac:dyDescent="0.35">
      <c r="A332" s="841"/>
      <c r="F332" s="951"/>
      <c r="G332" s="951"/>
      <c r="L332" s="877">
        <v>1.2</v>
      </c>
      <c r="M332" s="878" t="s">
        <v>752</v>
      </c>
      <c r="N332" s="879"/>
      <c r="O332" s="879"/>
      <c r="P332" s="880"/>
      <c r="Q332" s="877" t="s">
        <v>747</v>
      </c>
      <c r="R332" s="877">
        <v>1</v>
      </c>
      <c r="S332" s="878"/>
      <c r="T332" s="881">
        <v>0.35899999999999999</v>
      </c>
      <c r="U332" s="878"/>
      <c r="V332" s="882">
        <f t="shared" si="50"/>
        <v>32053.571428571428</v>
      </c>
      <c r="W332" s="869">
        <v>1.2</v>
      </c>
      <c r="X332" s="870" t="s">
        <v>753</v>
      </c>
      <c r="Y332" s="883"/>
      <c r="Z332" s="883"/>
      <c r="AA332" s="884"/>
      <c r="AB332" s="869" t="s">
        <v>749</v>
      </c>
      <c r="AC332" s="869">
        <v>0</v>
      </c>
      <c r="AD332" s="870"/>
      <c r="AE332" s="902">
        <v>0</v>
      </c>
      <c r="AF332" s="870"/>
      <c r="AG332" s="902">
        <f t="shared" si="51"/>
        <v>0</v>
      </c>
      <c r="AI332" s="1003"/>
    </row>
    <row r="333" spans="1:35" ht="21.9" customHeight="1" x14ac:dyDescent="0.35">
      <c r="A333" s="841"/>
      <c r="F333" s="951"/>
      <c r="G333" s="951"/>
      <c r="L333" s="877">
        <v>1.3</v>
      </c>
      <c r="M333" s="878" t="s">
        <v>754</v>
      </c>
      <c r="N333" s="879"/>
      <c r="O333" s="879"/>
      <c r="P333" s="880"/>
      <c r="Q333" s="877" t="s">
        <v>747</v>
      </c>
      <c r="R333" s="898">
        <v>1</v>
      </c>
      <c r="S333" s="878"/>
      <c r="T333" s="881">
        <v>0.01</v>
      </c>
      <c r="U333" s="878"/>
      <c r="V333" s="882">
        <f t="shared" si="50"/>
        <v>892.85714285714289</v>
      </c>
      <c r="W333" s="869">
        <v>1.3</v>
      </c>
      <c r="X333" s="870" t="s">
        <v>755</v>
      </c>
      <c r="Y333" s="883"/>
      <c r="Z333" s="883"/>
      <c r="AA333" s="884"/>
      <c r="AB333" s="869" t="s">
        <v>749</v>
      </c>
      <c r="AC333" s="869">
        <v>3</v>
      </c>
      <c r="AD333" s="870"/>
      <c r="AE333" s="902">
        <v>30000</v>
      </c>
      <c r="AF333" s="870"/>
      <c r="AG333" s="902">
        <f t="shared" si="51"/>
        <v>90000</v>
      </c>
      <c r="AI333" s="1003"/>
    </row>
    <row r="334" spans="1:35" ht="21.9" customHeight="1" x14ac:dyDescent="0.35">
      <c r="A334" s="841"/>
      <c r="F334" s="951"/>
      <c r="G334" s="951"/>
      <c r="L334" s="877">
        <v>1.4</v>
      </c>
      <c r="M334" s="878" t="s">
        <v>453</v>
      </c>
      <c r="N334" s="879"/>
      <c r="O334" s="879"/>
      <c r="P334" s="880"/>
      <c r="Q334" s="877" t="s">
        <v>747</v>
      </c>
      <c r="R334" s="877">
        <v>1</v>
      </c>
      <c r="S334" s="878"/>
      <c r="T334" s="881">
        <v>7.5200000000000003E-2</v>
      </c>
      <c r="U334" s="878"/>
      <c r="V334" s="882">
        <f t="shared" si="50"/>
        <v>6714.2857142857147</v>
      </c>
      <c r="W334" s="869">
        <v>1.4</v>
      </c>
      <c r="X334" s="870" t="s">
        <v>454</v>
      </c>
      <c r="Y334" s="883"/>
      <c r="Z334" s="883"/>
      <c r="AA334" s="884"/>
      <c r="AB334" s="869" t="s">
        <v>749</v>
      </c>
      <c r="AC334" s="869">
        <v>0</v>
      </c>
      <c r="AD334" s="870"/>
      <c r="AE334" s="902">
        <v>0</v>
      </c>
      <c r="AF334" s="870"/>
      <c r="AG334" s="902">
        <f t="shared" si="51"/>
        <v>0</v>
      </c>
      <c r="AI334" s="1003"/>
    </row>
    <row r="335" spans="1:35" ht="21.9" customHeight="1" x14ac:dyDescent="0.35">
      <c r="A335" s="841"/>
      <c r="F335" s="951"/>
      <c r="G335" s="951"/>
      <c r="L335" s="900">
        <v>2</v>
      </c>
      <c r="M335" s="901" t="s">
        <v>455</v>
      </c>
      <c r="N335" s="879"/>
      <c r="O335" s="879"/>
      <c r="P335" s="880"/>
      <c r="Q335" s="877"/>
      <c r="R335" s="877"/>
      <c r="S335" s="878"/>
      <c r="T335" s="882">
        <v>0</v>
      </c>
      <c r="U335" s="878"/>
      <c r="V335" s="882">
        <f t="shared" si="50"/>
        <v>0</v>
      </c>
      <c r="W335" s="869">
        <v>1.5</v>
      </c>
      <c r="X335" s="870" t="s">
        <v>456</v>
      </c>
      <c r="Y335" s="883"/>
      <c r="Z335" s="883"/>
      <c r="AA335" s="884"/>
      <c r="AB335" s="869" t="s">
        <v>749</v>
      </c>
      <c r="AC335" s="869">
        <v>3</v>
      </c>
      <c r="AD335" s="870"/>
      <c r="AE335" s="902">
        <v>12000</v>
      </c>
      <c r="AF335" s="870"/>
      <c r="AG335" s="902">
        <f t="shared" si="51"/>
        <v>36000</v>
      </c>
      <c r="AI335" s="1003"/>
    </row>
    <row r="336" spans="1:35" ht="21.9" customHeight="1" x14ac:dyDescent="0.35">
      <c r="A336" s="841"/>
      <c r="F336" s="951"/>
      <c r="G336" s="951"/>
      <c r="L336" s="877">
        <v>2.1</v>
      </c>
      <c r="M336" s="878" t="s">
        <v>457</v>
      </c>
      <c r="N336" s="879"/>
      <c r="O336" s="879"/>
      <c r="P336" s="880"/>
      <c r="Q336" s="877" t="s">
        <v>747</v>
      </c>
      <c r="R336" s="877">
        <v>1</v>
      </c>
      <c r="S336" s="878"/>
      <c r="T336" s="881">
        <v>0.1827</v>
      </c>
      <c r="U336" s="878"/>
      <c r="V336" s="882">
        <f t="shared" si="50"/>
        <v>16312.5</v>
      </c>
      <c r="W336" s="869">
        <v>1.6</v>
      </c>
      <c r="X336" s="870" t="s">
        <v>458</v>
      </c>
      <c r="Y336" s="883"/>
      <c r="Z336" s="883"/>
      <c r="AA336" s="884"/>
      <c r="AB336" s="869" t="s">
        <v>749</v>
      </c>
      <c r="AC336" s="869">
        <v>2</v>
      </c>
      <c r="AD336" s="870"/>
      <c r="AE336" s="902">
        <v>8000</v>
      </c>
      <c r="AF336" s="870"/>
      <c r="AG336" s="902">
        <f t="shared" si="51"/>
        <v>16000</v>
      </c>
      <c r="AI336" s="1003"/>
    </row>
    <row r="337" spans="1:35" ht="21.9" customHeight="1" x14ac:dyDescent="0.35">
      <c r="A337" s="841"/>
      <c r="F337" s="951"/>
      <c r="G337" s="951"/>
      <c r="L337" s="877">
        <v>2.2000000000000002</v>
      </c>
      <c r="M337" s="878" t="s">
        <v>459</v>
      </c>
      <c r="N337" s="879"/>
      <c r="O337" s="879"/>
      <c r="P337" s="880"/>
      <c r="Q337" s="877" t="s">
        <v>747</v>
      </c>
      <c r="R337" s="877">
        <v>1</v>
      </c>
      <c r="S337" s="878"/>
      <c r="T337" s="881">
        <v>0.70340000000000003</v>
      </c>
      <c r="U337" s="878"/>
      <c r="V337" s="882">
        <f t="shared" si="50"/>
        <v>62803.571428571428</v>
      </c>
      <c r="W337" s="869">
        <v>1.7</v>
      </c>
      <c r="X337" s="870" t="s">
        <v>460</v>
      </c>
      <c r="Y337" s="883"/>
      <c r="Z337" s="883"/>
      <c r="AA337" s="884"/>
      <c r="AB337" s="869" t="s">
        <v>749</v>
      </c>
      <c r="AC337" s="869">
        <v>2</v>
      </c>
      <c r="AD337" s="870"/>
      <c r="AE337" s="902">
        <v>12000</v>
      </c>
      <c r="AF337" s="870"/>
      <c r="AG337" s="902">
        <f t="shared" si="51"/>
        <v>24000</v>
      </c>
      <c r="AI337" s="1003"/>
    </row>
    <row r="338" spans="1:35" ht="21.9" customHeight="1" x14ac:dyDescent="0.35">
      <c r="A338" s="841"/>
      <c r="F338" s="951"/>
      <c r="G338" s="951"/>
      <c r="L338" s="877">
        <v>2.2999999999999998</v>
      </c>
      <c r="M338" s="878" t="s">
        <v>461</v>
      </c>
      <c r="N338" s="879"/>
      <c r="O338" s="879"/>
      <c r="P338" s="880"/>
      <c r="Q338" s="877" t="s">
        <v>747</v>
      </c>
      <c r="R338" s="877">
        <v>1</v>
      </c>
      <c r="S338" s="878"/>
      <c r="T338" s="881">
        <v>2.4299999999999999E-2</v>
      </c>
      <c r="U338" s="878"/>
      <c r="V338" s="882">
        <f t="shared" si="50"/>
        <v>2169.6428571428573</v>
      </c>
      <c r="W338" s="869">
        <v>1.8</v>
      </c>
      <c r="X338" s="870" t="s">
        <v>462</v>
      </c>
      <c r="Y338" s="845"/>
      <c r="Z338" s="845"/>
      <c r="AA338" s="868"/>
      <c r="AB338" s="869" t="s">
        <v>749</v>
      </c>
      <c r="AC338" s="869">
        <v>2</v>
      </c>
      <c r="AD338" s="870"/>
      <c r="AE338" s="902">
        <v>8000</v>
      </c>
      <c r="AF338" s="870"/>
      <c r="AG338" s="902">
        <f t="shared" si="51"/>
        <v>16000</v>
      </c>
      <c r="AI338" s="1003"/>
    </row>
    <row r="339" spans="1:35" ht="21.9" customHeight="1" x14ac:dyDescent="0.35">
      <c r="A339" s="841"/>
      <c r="F339" s="951"/>
      <c r="G339" s="951"/>
      <c r="L339" s="877">
        <v>2.4</v>
      </c>
      <c r="M339" s="878" t="s">
        <v>463</v>
      </c>
      <c r="N339" s="879"/>
      <c r="O339" s="879"/>
      <c r="P339" s="880"/>
      <c r="Q339" s="877" t="s">
        <v>747</v>
      </c>
      <c r="R339" s="877">
        <v>1</v>
      </c>
      <c r="S339" s="878"/>
      <c r="T339" s="881">
        <v>2.9000000000000001E-2</v>
      </c>
      <c r="U339" s="878"/>
      <c r="V339" s="882">
        <f t="shared" si="50"/>
        <v>2589.2857142857142</v>
      </c>
      <c r="W339" s="869">
        <v>1.9</v>
      </c>
      <c r="X339" s="870" t="s">
        <v>464</v>
      </c>
      <c r="Y339" s="883"/>
      <c r="Z339" s="883"/>
      <c r="AA339" s="884"/>
      <c r="AB339" s="869" t="s">
        <v>749</v>
      </c>
      <c r="AC339" s="869">
        <v>0</v>
      </c>
      <c r="AD339" s="870"/>
      <c r="AE339" s="902">
        <v>0</v>
      </c>
      <c r="AF339" s="870"/>
      <c r="AG339" s="902">
        <f t="shared" si="51"/>
        <v>0</v>
      </c>
      <c r="AI339" s="1003"/>
    </row>
    <row r="340" spans="1:35" ht="21.9" customHeight="1" x14ac:dyDescent="0.35">
      <c r="A340" s="841"/>
      <c r="F340" s="951"/>
      <c r="G340" s="951"/>
      <c r="L340" s="877" t="s">
        <v>741</v>
      </c>
      <c r="M340" s="878" t="s">
        <v>741</v>
      </c>
      <c r="N340" s="879"/>
      <c r="O340" s="879"/>
      <c r="P340" s="880"/>
      <c r="Q340" s="877" t="s">
        <v>741</v>
      </c>
      <c r="R340" s="877" t="s">
        <v>741</v>
      </c>
      <c r="S340" s="878"/>
      <c r="T340" s="882">
        <v>0</v>
      </c>
      <c r="U340" s="878" t="s">
        <v>741</v>
      </c>
      <c r="V340" s="882">
        <f t="shared" si="50"/>
        <v>0</v>
      </c>
      <c r="W340" s="869" t="s">
        <v>741</v>
      </c>
      <c r="X340" s="870" t="s">
        <v>741</v>
      </c>
      <c r="Y340" s="883"/>
      <c r="Z340" s="883"/>
      <c r="AA340" s="884"/>
      <c r="AB340" s="869" t="s">
        <v>741</v>
      </c>
      <c r="AC340" s="869" t="s">
        <v>741</v>
      </c>
      <c r="AD340" s="870"/>
      <c r="AE340" s="871" t="s">
        <v>741</v>
      </c>
      <c r="AF340" s="870"/>
      <c r="AG340" s="902" t="s">
        <v>741</v>
      </c>
      <c r="AI340" s="1003"/>
    </row>
    <row r="341" spans="1:35" ht="21.9" customHeight="1" x14ac:dyDescent="0.35">
      <c r="A341" s="841"/>
      <c r="F341" s="951"/>
      <c r="G341" s="951"/>
      <c r="L341" s="877" t="s">
        <v>741</v>
      </c>
      <c r="M341" s="878" t="s">
        <v>741</v>
      </c>
      <c r="N341" s="879"/>
      <c r="O341" s="879"/>
      <c r="P341" s="880"/>
      <c r="Q341" s="877" t="s">
        <v>741</v>
      </c>
      <c r="R341" s="877" t="s">
        <v>741</v>
      </c>
      <c r="S341" s="878"/>
      <c r="T341" s="882">
        <v>0</v>
      </c>
      <c r="U341" s="878" t="s">
        <v>741</v>
      </c>
      <c r="V341" s="882">
        <f t="shared" si="50"/>
        <v>0</v>
      </c>
      <c r="W341" s="869" t="s">
        <v>741</v>
      </c>
      <c r="X341" s="870" t="s">
        <v>741</v>
      </c>
      <c r="Y341" s="883"/>
      <c r="Z341" s="883"/>
      <c r="AA341" s="884"/>
      <c r="AB341" s="869" t="s">
        <v>741</v>
      </c>
      <c r="AC341" s="869" t="s">
        <v>741</v>
      </c>
      <c r="AD341" s="870"/>
      <c r="AE341" s="871" t="s">
        <v>741</v>
      </c>
      <c r="AF341" s="870"/>
      <c r="AG341" s="902" t="s">
        <v>741</v>
      </c>
      <c r="AI341" s="1003"/>
    </row>
    <row r="342" spans="1:35" ht="21.9" customHeight="1" x14ac:dyDescent="0.35">
      <c r="A342" s="841"/>
      <c r="F342" s="951"/>
      <c r="G342" s="951"/>
      <c r="L342" s="903" t="s">
        <v>260</v>
      </c>
      <c r="M342" s="904"/>
      <c r="N342" s="904"/>
      <c r="O342" s="904"/>
      <c r="P342" s="904"/>
      <c r="Q342" s="904"/>
      <c r="R342" s="904"/>
      <c r="S342" s="904"/>
      <c r="T342" s="905"/>
      <c r="U342" s="906"/>
      <c r="V342" s="907">
        <f>SUM(V330:V341)</f>
        <v>126258.92857142857</v>
      </c>
      <c r="W342" s="908" t="s">
        <v>260</v>
      </c>
      <c r="X342" s="909"/>
      <c r="Y342" s="909"/>
      <c r="Z342" s="909"/>
      <c r="AA342" s="909"/>
      <c r="AB342" s="909"/>
      <c r="AC342" s="909"/>
      <c r="AD342" s="909"/>
      <c r="AE342" s="910"/>
      <c r="AF342" s="911"/>
      <c r="AG342" s="912">
        <f>SUM(AG331:AG341)</f>
        <v>232000</v>
      </c>
      <c r="AI342" s="1003"/>
    </row>
    <row r="343" spans="1:35" ht="21.9" customHeight="1" x14ac:dyDescent="0.35">
      <c r="A343" s="841"/>
      <c r="F343" s="951"/>
      <c r="G343" s="951"/>
      <c r="L343" s="831"/>
      <c r="M343" s="831"/>
      <c r="N343" s="831"/>
      <c r="O343" s="831"/>
      <c r="P343" s="831"/>
      <c r="Q343" s="831"/>
      <c r="R343" s="831"/>
      <c r="S343" s="831"/>
      <c r="T343" s="831"/>
      <c r="U343" s="831"/>
      <c r="V343" s="831"/>
      <c r="W343" s="984" t="s">
        <v>741</v>
      </c>
      <c r="X343" s="862" t="s">
        <v>741</v>
      </c>
      <c r="Y343" s="862"/>
      <c r="Z343" s="862"/>
      <c r="AA343" s="862"/>
      <c r="AB343" s="984" t="s">
        <v>741</v>
      </c>
      <c r="AC343" s="984" t="s">
        <v>741</v>
      </c>
      <c r="AD343" s="862"/>
      <c r="AE343" s="985" t="s">
        <v>741</v>
      </c>
      <c r="AF343" s="862"/>
      <c r="AG343" s="985" t="s">
        <v>741</v>
      </c>
      <c r="AI343" s="1003"/>
    </row>
    <row r="344" spans="1:35" ht="21.9" customHeight="1" x14ac:dyDescent="0.35">
      <c r="A344" s="841"/>
      <c r="F344" s="951"/>
      <c r="G344" s="951"/>
      <c r="L344" s="831"/>
      <c r="M344" s="837" t="s">
        <v>579</v>
      </c>
      <c r="N344" s="837"/>
      <c r="O344" s="837"/>
      <c r="P344" s="837">
        <v>300</v>
      </c>
      <c r="Q344" s="837" t="s">
        <v>660</v>
      </c>
      <c r="R344" s="831"/>
      <c r="S344" s="838" t="s">
        <v>518</v>
      </c>
      <c r="T344" s="837">
        <f>E29</f>
        <v>30</v>
      </c>
      <c r="U344" s="839" t="s">
        <v>519</v>
      </c>
      <c r="V344" s="831"/>
      <c r="W344" s="883"/>
      <c r="X344" s="837" t="s">
        <v>580</v>
      </c>
      <c r="Y344" s="837"/>
      <c r="Z344" s="837"/>
      <c r="AA344" s="837">
        <v>300</v>
      </c>
      <c r="AB344" s="837" t="s">
        <v>660</v>
      </c>
      <c r="AC344" s="831"/>
      <c r="AD344" s="838" t="s">
        <v>518</v>
      </c>
      <c r="AE344" s="837">
        <f>E29</f>
        <v>30</v>
      </c>
      <c r="AF344" s="839" t="s">
        <v>519</v>
      </c>
      <c r="AG344" s="831"/>
      <c r="AI344" s="1003"/>
    </row>
    <row r="345" spans="1:35" ht="21.9" customHeight="1" x14ac:dyDescent="0.35">
      <c r="A345" s="841"/>
      <c r="F345" s="951"/>
      <c r="G345" s="951"/>
      <c r="L345" s="847" t="s">
        <v>522</v>
      </c>
      <c r="M345" s="848" t="s">
        <v>523</v>
      </c>
      <c r="N345" s="849"/>
      <c r="O345" s="849"/>
      <c r="P345" s="850"/>
      <c r="Q345" s="847" t="s">
        <v>524</v>
      </c>
      <c r="R345" s="847" t="s">
        <v>525</v>
      </c>
      <c r="S345" s="851" t="s">
        <v>526</v>
      </c>
      <c r="T345" s="852"/>
      <c r="U345" s="851" t="s">
        <v>527</v>
      </c>
      <c r="V345" s="852"/>
      <c r="W345" s="847" t="s">
        <v>522</v>
      </c>
      <c r="X345" s="848" t="s">
        <v>523</v>
      </c>
      <c r="Y345" s="849"/>
      <c r="Z345" s="849"/>
      <c r="AA345" s="850"/>
      <c r="AB345" s="847" t="s">
        <v>524</v>
      </c>
      <c r="AC345" s="847" t="s">
        <v>525</v>
      </c>
      <c r="AD345" s="851" t="s">
        <v>528</v>
      </c>
      <c r="AE345" s="852"/>
      <c r="AF345" s="851" t="s">
        <v>529</v>
      </c>
      <c r="AG345" s="852"/>
      <c r="AI345" s="1003"/>
    </row>
    <row r="346" spans="1:35" ht="21.9" customHeight="1" x14ac:dyDescent="0.35">
      <c r="A346" s="841"/>
      <c r="F346" s="951"/>
      <c r="G346" s="951"/>
      <c r="L346" s="854"/>
      <c r="M346" s="855"/>
      <c r="N346" s="856"/>
      <c r="O346" s="856"/>
      <c r="P346" s="857"/>
      <c r="Q346" s="854"/>
      <c r="R346" s="854"/>
      <c r="S346" s="858" t="s">
        <v>533</v>
      </c>
      <c r="T346" s="859"/>
      <c r="U346" s="858" t="s">
        <v>732</v>
      </c>
      <c r="V346" s="859"/>
      <c r="W346" s="854"/>
      <c r="X346" s="855"/>
      <c r="Y346" s="856"/>
      <c r="Z346" s="856"/>
      <c r="AA346" s="857"/>
      <c r="AB346" s="854"/>
      <c r="AC346" s="854"/>
      <c r="AD346" s="858" t="s">
        <v>733</v>
      </c>
      <c r="AE346" s="859"/>
      <c r="AF346" s="858" t="s">
        <v>732</v>
      </c>
      <c r="AG346" s="859"/>
      <c r="AI346" s="1003"/>
    </row>
    <row r="347" spans="1:35" ht="21.9" customHeight="1" x14ac:dyDescent="0.35">
      <c r="A347" s="841"/>
      <c r="F347" s="951"/>
      <c r="G347" s="951"/>
      <c r="L347" s="860">
        <v>1</v>
      </c>
      <c r="M347" s="861" t="s">
        <v>739</v>
      </c>
      <c r="N347" s="862"/>
      <c r="O347" s="862"/>
      <c r="P347" s="863"/>
      <c r="Q347" s="864"/>
      <c r="R347" s="864"/>
      <c r="S347" s="865"/>
      <c r="T347" s="863"/>
      <c r="U347" s="865"/>
      <c r="V347" s="863"/>
      <c r="W347" s="866">
        <v>1</v>
      </c>
      <c r="X347" s="867" t="s">
        <v>740</v>
      </c>
      <c r="Y347" s="845"/>
      <c r="Z347" s="845"/>
      <c r="AA347" s="868"/>
      <c r="AB347" s="869"/>
      <c r="AC347" s="869"/>
      <c r="AD347" s="870"/>
      <c r="AE347" s="871"/>
      <c r="AF347" s="870"/>
      <c r="AG347" s="872" t="s">
        <v>741</v>
      </c>
      <c r="AI347" s="1003"/>
    </row>
    <row r="348" spans="1:35" ht="21.9" customHeight="1" x14ac:dyDescent="0.35">
      <c r="A348" s="841"/>
      <c r="F348" s="951"/>
      <c r="G348" s="951"/>
      <c r="L348" s="877">
        <v>1.1000000000000001</v>
      </c>
      <c r="M348" s="878" t="s">
        <v>1437</v>
      </c>
      <c r="N348" s="879"/>
      <c r="O348" s="879"/>
      <c r="P348" s="880"/>
      <c r="Q348" s="877" t="s">
        <v>747</v>
      </c>
      <c r="R348" s="877">
        <v>1</v>
      </c>
      <c r="S348" s="878"/>
      <c r="T348" s="881">
        <v>3.0499999999999999E-2</v>
      </c>
      <c r="U348" s="878"/>
      <c r="V348" s="882">
        <f t="shared" ref="V348:V358" si="52">((($P$344*1000000)*T348)/100)/$T$344</f>
        <v>3050</v>
      </c>
      <c r="W348" s="869">
        <v>1.1000000000000001</v>
      </c>
      <c r="X348" s="870" t="s">
        <v>748</v>
      </c>
      <c r="Y348" s="883"/>
      <c r="Z348" s="883"/>
      <c r="AA348" s="884"/>
      <c r="AB348" s="869" t="s">
        <v>749</v>
      </c>
      <c r="AC348" s="869">
        <v>1</v>
      </c>
      <c r="AD348" s="870"/>
      <c r="AE348" s="957">
        <v>50000</v>
      </c>
      <c r="AF348" s="870"/>
      <c r="AG348" s="902">
        <f t="shared" ref="AG348:AG356" si="53">(AC348*AE348)</f>
        <v>50000</v>
      </c>
      <c r="AI348" s="1003"/>
    </row>
    <row r="349" spans="1:35" ht="21.9" customHeight="1" x14ac:dyDescent="0.35">
      <c r="A349" s="841"/>
      <c r="F349" s="951"/>
      <c r="G349" s="951"/>
      <c r="L349" s="877">
        <v>1.2</v>
      </c>
      <c r="M349" s="878" t="s">
        <v>752</v>
      </c>
      <c r="N349" s="879"/>
      <c r="O349" s="879"/>
      <c r="P349" s="880"/>
      <c r="Q349" s="877" t="s">
        <v>747</v>
      </c>
      <c r="R349" s="877">
        <v>1</v>
      </c>
      <c r="S349" s="878"/>
      <c r="T349" s="881">
        <v>0.35899999999999999</v>
      </c>
      <c r="U349" s="878"/>
      <c r="V349" s="882">
        <f t="shared" si="52"/>
        <v>35900</v>
      </c>
      <c r="W349" s="869">
        <v>1.2</v>
      </c>
      <c r="X349" s="870" t="s">
        <v>753</v>
      </c>
      <c r="Y349" s="883"/>
      <c r="Z349" s="883"/>
      <c r="AA349" s="884"/>
      <c r="AB349" s="869" t="s">
        <v>749</v>
      </c>
      <c r="AC349" s="869">
        <v>0</v>
      </c>
      <c r="AD349" s="870"/>
      <c r="AE349" s="902">
        <v>0</v>
      </c>
      <c r="AF349" s="870"/>
      <c r="AG349" s="902">
        <f t="shared" si="53"/>
        <v>0</v>
      </c>
      <c r="AI349" s="1003"/>
    </row>
    <row r="350" spans="1:35" ht="21.9" customHeight="1" x14ac:dyDescent="0.35">
      <c r="A350" s="841"/>
      <c r="F350" s="951"/>
      <c r="G350" s="951"/>
      <c r="L350" s="877">
        <v>1.3</v>
      </c>
      <c r="M350" s="878" t="s">
        <v>754</v>
      </c>
      <c r="N350" s="879"/>
      <c r="O350" s="879"/>
      <c r="P350" s="880"/>
      <c r="Q350" s="877" t="s">
        <v>747</v>
      </c>
      <c r="R350" s="898">
        <v>1</v>
      </c>
      <c r="S350" s="878"/>
      <c r="T350" s="881">
        <v>0.01</v>
      </c>
      <c r="U350" s="878"/>
      <c r="V350" s="882">
        <f t="shared" si="52"/>
        <v>1000</v>
      </c>
      <c r="W350" s="869">
        <v>1.3</v>
      </c>
      <c r="X350" s="870" t="s">
        <v>755</v>
      </c>
      <c r="Y350" s="883"/>
      <c r="Z350" s="883"/>
      <c r="AA350" s="884"/>
      <c r="AB350" s="869" t="s">
        <v>749</v>
      </c>
      <c r="AC350" s="869">
        <v>3</v>
      </c>
      <c r="AD350" s="870"/>
      <c r="AE350" s="902">
        <v>30000</v>
      </c>
      <c r="AF350" s="870"/>
      <c r="AG350" s="902">
        <f t="shared" si="53"/>
        <v>90000</v>
      </c>
      <c r="AI350" s="1003"/>
    </row>
    <row r="351" spans="1:35" ht="21.9" customHeight="1" x14ac:dyDescent="0.35">
      <c r="A351" s="841"/>
      <c r="F351" s="951"/>
      <c r="G351" s="951"/>
      <c r="L351" s="877">
        <v>1.4</v>
      </c>
      <c r="M351" s="878" t="s">
        <v>453</v>
      </c>
      <c r="N351" s="879"/>
      <c r="O351" s="879"/>
      <c r="P351" s="880"/>
      <c r="Q351" s="877" t="s">
        <v>747</v>
      </c>
      <c r="R351" s="877">
        <v>1</v>
      </c>
      <c r="S351" s="878"/>
      <c r="T351" s="881">
        <v>7.2599999999999998E-2</v>
      </c>
      <c r="U351" s="878"/>
      <c r="V351" s="882">
        <f t="shared" si="52"/>
        <v>7260</v>
      </c>
      <c r="W351" s="869">
        <v>1.4</v>
      </c>
      <c r="X351" s="870" t="s">
        <v>454</v>
      </c>
      <c r="Y351" s="883"/>
      <c r="Z351" s="883"/>
      <c r="AA351" s="884"/>
      <c r="AB351" s="869" t="s">
        <v>749</v>
      </c>
      <c r="AC351" s="869">
        <v>0</v>
      </c>
      <c r="AD351" s="870"/>
      <c r="AE351" s="902">
        <v>0</v>
      </c>
      <c r="AF351" s="870"/>
      <c r="AG351" s="902">
        <f t="shared" si="53"/>
        <v>0</v>
      </c>
      <c r="AI351" s="1003"/>
    </row>
    <row r="352" spans="1:35" ht="21.9" customHeight="1" x14ac:dyDescent="0.35">
      <c r="A352" s="841"/>
      <c r="F352" s="951"/>
      <c r="G352" s="951"/>
      <c r="L352" s="900">
        <v>2</v>
      </c>
      <c r="M352" s="901" t="s">
        <v>455</v>
      </c>
      <c r="N352" s="879"/>
      <c r="O352" s="879"/>
      <c r="P352" s="880"/>
      <c r="Q352" s="877"/>
      <c r="R352" s="877"/>
      <c r="S352" s="878"/>
      <c r="T352" s="882">
        <v>0</v>
      </c>
      <c r="U352" s="878"/>
      <c r="V352" s="882">
        <f t="shared" si="52"/>
        <v>0</v>
      </c>
      <c r="W352" s="869">
        <v>1.5</v>
      </c>
      <c r="X352" s="870" t="s">
        <v>456</v>
      </c>
      <c r="Y352" s="883"/>
      <c r="Z352" s="883"/>
      <c r="AA352" s="884"/>
      <c r="AB352" s="869" t="s">
        <v>749</v>
      </c>
      <c r="AC352" s="869">
        <v>3</v>
      </c>
      <c r="AD352" s="870"/>
      <c r="AE352" s="902">
        <v>12000</v>
      </c>
      <c r="AF352" s="870"/>
      <c r="AG352" s="902">
        <f t="shared" si="53"/>
        <v>36000</v>
      </c>
      <c r="AI352" s="1003"/>
    </row>
    <row r="353" spans="1:35" ht="21.9" customHeight="1" x14ac:dyDescent="0.35">
      <c r="A353" s="841"/>
      <c r="F353" s="951"/>
      <c r="G353" s="951"/>
      <c r="L353" s="877">
        <v>2.1</v>
      </c>
      <c r="M353" s="878" t="s">
        <v>457</v>
      </c>
      <c r="N353" s="879"/>
      <c r="O353" s="879"/>
      <c r="P353" s="880"/>
      <c r="Q353" s="877" t="s">
        <v>747</v>
      </c>
      <c r="R353" s="877">
        <v>1</v>
      </c>
      <c r="S353" s="878"/>
      <c r="T353" s="881">
        <v>0.17519999999999999</v>
      </c>
      <c r="U353" s="878"/>
      <c r="V353" s="882">
        <f t="shared" si="52"/>
        <v>17520</v>
      </c>
      <c r="W353" s="869">
        <v>1.6</v>
      </c>
      <c r="X353" s="870" t="s">
        <v>458</v>
      </c>
      <c r="Y353" s="883"/>
      <c r="Z353" s="883"/>
      <c r="AA353" s="884"/>
      <c r="AB353" s="869" t="s">
        <v>749</v>
      </c>
      <c r="AC353" s="869">
        <v>2</v>
      </c>
      <c r="AD353" s="870"/>
      <c r="AE353" s="902">
        <v>8000</v>
      </c>
      <c r="AF353" s="870"/>
      <c r="AG353" s="902">
        <f t="shared" si="53"/>
        <v>16000</v>
      </c>
      <c r="AI353" s="1003"/>
    </row>
    <row r="354" spans="1:35" ht="21.9" customHeight="1" x14ac:dyDescent="0.35">
      <c r="A354" s="841"/>
      <c r="F354" s="951"/>
      <c r="G354" s="951"/>
      <c r="L354" s="877">
        <v>2.2000000000000002</v>
      </c>
      <c r="M354" s="878" t="s">
        <v>459</v>
      </c>
      <c r="N354" s="879"/>
      <c r="O354" s="879"/>
      <c r="P354" s="880"/>
      <c r="Q354" s="877" t="s">
        <v>747</v>
      </c>
      <c r="R354" s="877">
        <v>1</v>
      </c>
      <c r="S354" s="878"/>
      <c r="T354" s="881">
        <v>0.70340000000000003</v>
      </c>
      <c r="U354" s="878"/>
      <c r="V354" s="882">
        <f t="shared" si="52"/>
        <v>70340</v>
      </c>
      <c r="W354" s="869">
        <v>1.7</v>
      </c>
      <c r="X354" s="870" t="s">
        <v>460</v>
      </c>
      <c r="Y354" s="883"/>
      <c r="Z354" s="883"/>
      <c r="AA354" s="884"/>
      <c r="AB354" s="869" t="s">
        <v>749</v>
      </c>
      <c r="AC354" s="869">
        <v>2</v>
      </c>
      <c r="AD354" s="870"/>
      <c r="AE354" s="902">
        <v>12000</v>
      </c>
      <c r="AF354" s="870"/>
      <c r="AG354" s="902">
        <f t="shared" si="53"/>
        <v>24000</v>
      </c>
      <c r="AI354" s="1003"/>
    </row>
    <row r="355" spans="1:35" ht="21.9" customHeight="1" x14ac:dyDescent="0.35">
      <c r="A355" s="841"/>
      <c r="F355" s="951"/>
      <c r="G355" s="951"/>
      <c r="L355" s="877">
        <v>2.2999999999999998</v>
      </c>
      <c r="M355" s="878" t="s">
        <v>461</v>
      </c>
      <c r="N355" s="879"/>
      <c r="O355" s="879"/>
      <c r="P355" s="880"/>
      <c r="Q355" s="877" t="s">
        <v>747</v>
      </c>
      <c r="R355" s="877">
        <v>1</v>
      </c>
      <c r="S355" s="878"/>
      <c r="T355" s="881">
        <v>2.4299999999999999E-2</v>
      </c>
      <c r="U355" s="878"/>
      <c r="V355" s="882">
        <f t="shared" si="52"/>
        <v>2430</v>
      </c>
      <c r="W355" s="869">
        <v>1.8</v>
      </c>
      <c r="X355" s="870" t="s">
        <v>462</v>
      </c>
      <c r="Y355" s="845"/>
      <c r="Z355" s="845"/>
      <c r="AA355" s="868"/>
      <c r="AB355" s="869" t="s">
        <v>749</v>
      </c>
      <c r="AC355" s="869">
        <v>2</v>
      </c>
      <c r="AD355" s="870"/>
      <c r="AE355" s="902">
        <v>8000</v>
      </c>
      <c r="AF355" s="870"/>
      <c r="AG355" s="902">
        <f t="shared" si="53"/>
        <v>16000</v>
      </c>
      <c r="AI355" s="1003"/>
    </row>
    <row r="356" spans="1:35" ht="21.9" customHeight="1" x14ac:dyDescent="0.35">
      <c r="A356" s="841"/>
      <c r="F356" s="951"/>
      <c r="G356" s="951"/>
      <c r="L356" s="877">
        <v>2.4</v>
      </c>
      <c r="M356" s="878" t="s">
        <v>463</v>
      </c>
      <c r="N356" s="879"/>
      <c r="O356" s="879"/>
      <c r="P356" s="880"/>
      <c r="Q356" s="877" t="s">
        <v>747</v>
      </c>
      <c r="R356" s="877">
        <v>1</v>
      </c>
      <c r="S356" s="878"/>
      <c r="T356" s="881">
        <v>1.8700000000000001E-2</v>
      </c>
      <c r="U356" s="878"/>
      <c r="V356" s="882">
        <f t="shared" si="52"/>
        <v>1870</v>
      </c>
      <c r="W356" s="869">
        <v>1.9</v>
      </c>
      <c r="X356" s="870" t="s">
        <v>464</v>
      </c>
      <c r="Y356" s="883"/>
      <c r="Z356" s="883"/>
      <c r="AA356" s="884"/>
      <c r="AB356" s="869" t="s">
        <v>749</v>
      </c>
      <c r="AC356" s="869">
        <v>0</v>
      </c>
      <c r="AD356" s="870"/>
      <c r="AE356" s="902">
        <v>0</v>
      </c>
      <c r="AF356" s="870"/>
      <c r="AG356" s="902">
        <f t="shared" si="53"/>
        <v>0</v>
      </c>
      <c r="AI356" s="1003"/>
    </row>
    <row r="357" spans="1:35" ht="21.9" customHeight="1" x14ac:dyDescent="0.35">
      <c r="A357" s="841"/>
      <c r="F357" s="951"/>
      <c r="G357" s="951"/>
      <c r="L357" s="877" t="s">
        <v>741</v>
      </c>
      <c r="M357" s="878" t="s">
        <v>741</v>
      </c>
      <c r="N357" s="879"/>
      <c r="O357" s="879"/>
      <c r="P357" s="880"/>
      <c r="Q357" s="877" t="s">
        <v>741</v>
      </c>
      <c r="R357" s="877" t="s">
        <v>741</v>
      </c>
      <c r="S357" s="878"/>
      <c r="T357" s="882">
        <v>0</v>
      </c>
      <c r="U357" s="878" t="s">
        <v>741</v>
      </c>
      <c r="V357" s="882">
        <f t="shared" si="52"/>
        <v>0</v>
      </c>
      <c r="W357" s="869" t="s">
        <v>741</v>
      </c>
      <c r="X357" s="870" t="s">
        <v>741</v>
      </c>
      <c r="Y357" s="845"/>
      <c r="Z357" s="845"/>
      <c r="AA357" s="868"/>
      <c r="AB357" s="869" t="s">
        <v>741</v>
      </c>
      <c r="AC357" s="869" t="s">
        <v>741</v>
      </c>
      <c r="AD357" s="870"/>
      <c r="AE357" s="871"/>
      <c r="AF357" s="870"/>
      <c r="AG357" s="902" t="s">
        <v>741</v>
      </c>
      <c r="AI357" s="1003"/>
    </row>
    <row r="358" spans="1:35" ht="21.9" customHeight="1" x14ac:dyDescent="0.35">
      <c r="A358" s="841"/>
      <c r="F358" s="951"/>
      <c r="G358" s="951"/>
      <c r="L358" s="877" t="s">
        <v>741</v>
      </c>
      <c r="M358" s="878" t="s">
        <v>741</v>
      </c>
      <c r="N358" s="879"/>
      <c r="O358" s="879"/>
      <c r="P358" s="880"/>
      <c r="Q358" s="877" t="s">
        <v>741</v>
      </c>
      <c r="R358" s="877" t="s">
        <v>741</v>
      </c>
      <c r="S358" s="878"/>
      <c r="T358" s="882">
        <v>0</v>
      </c>
      <c r="U358" s="878" t="s">
        <v>741</v>
      </c>
      <c r="V358" s="882">
        <f t="shared" si="52"/>
        <v>0</v>
      </c>
      <c r="W358" s="869" t="s">
        <v>741</v>
      </c>
      <c r="X358" s="870" t="s">
        <v>741</v>
      </c>
      <c r="Y358" s="883"/>
      <c r="Z358" s="883"/>
      <c r="AA358" s="884"/>
      <c r="AB358" s="869" t="s">
        <v>741</v>
      </c>
      <c r="AC358" s="869" t="s">
        <v>741</v>
      </c>
      <c r="AD358" s="870"/>
      <c r="AE358" s="871" t="s">
        <v>741</v>
      </c>
      <c r="AF358" s="870"/>
      <c r="AG358" s="902" t="s">
        <v>741</v>
      </c>
      <c r="AI358" s="1003"/>
    </row>
    <row r="359" spans="1:35" ht="21.9" customHeight="1" x14ac:dyDescent="0.35">
      <c r="A359" s="841"/>
      <c r="F359" s="951"/>
      <c r="G359" s="951"/>
      <c r="L359" s="903" t="s">
        <v>260</v>
      </c>
      <c r="M359" s="904"/>
      <c r="N359" s="904"/>
      <c r="O359" s="904"/>
      <c r="P359" s="904"/>
      <c r="Q359" s="904"/>
      <c r="R359" s="904"/>
      <c r="S359" s="904"/>
      <c r="T359" s="905"/>
      <c r="U359" s="906"/>
      <c r="V359" s="907">
        <f>SUM(V347:V358)</f>
        <v>139370</v>
      </c>
      <c r="W359" s="908" t="s">
        <v>260</v>
      </c>
      <c r="X359" s="909"/>
      <c r="Y359" s="909"/>
      <c r="Z359" s="909"/>
      <c r="AA359" s="909"/>
      <c r="AB359" s="909"/>
      <c r="AC359" s="909"/>
      <c r="AD359" s="909"/>
      <c r="AE359" s="910"/>
      <c r="AF359" s="911"/>
      <c r="AG359" s="912">
        <f>SUM(AG348:AG358)</f>
        <v>232000</v>
      </c>
      <c r="AI359" s="1003"/>
    </row>
    <row r="360" spans="1:35" ht="21.9" customHeight="1" x14ac:dyDescent="0.35">
      <c r="A360" s="841"/>
      <c r="F360" s="951"/>
      <c r="G360" s="951"/>
      <c r="L360" s="831"/>
      <c r="M360" s="831"/>
      <c r="N360" s="831"/>
      <c r="O360" s="831"/>
      <c r="P360" s="831"/>
      <c r="Q360" s="831"/>
      <c r="R360" s="831"/>
      <c r="S360" s="831"/>
      <c r="T360" s="831"/>
      <c r="U360" s="831"/>
      <c r="V360" s="831"/>
      <c r="AI360" s="1003"/>
    </row>
    <row r="361" spans="1:35" ht="21.9" customHeight="1" x14ac:dyDescent="0.35">
      <c r="A361" s="841"/>
      <c r="F361" s="951"/>
      <c r="G361" s="951"/>
      <c r="L361" s="930" t="s">
        <v>581</v>
      </c>
      <c r="M361" s="930"/>
      <c r="N361" s="930"/>
      <c r="O361" s="930"/>
      <c r="P361" s="930"/>
      <c r="Q361" s="930"/>
      <c r="R361" s="930"/>
      <c r="S361" s="930"/>
      <c r="T361" s="930"/>
      <c r="U361" s="930"/>
      <c r="V361" s="930"/>
      <c r="W361" s="828" t="s">
        <v>582</v>
      </c>
      <c r="X361" s="828"/>
      <c r="Y361" s="828"/>
      <c r="Z361" s="828"/>
      <c r="AA361" s="828"/>
      <c r="AB361" s="828"/>
      <c r="AC361" s="828"/>
      <c r="AD361" s="828"/>
      <c r="AE361" s="828"/>
      <c r="AF361" s="828"/>
      <c r="AG361" s="828"/>
      <c r="AI361" s="1003"/>
    </row>
    <row r="362" spans="1:35" ht="21.9" customHeight="1" x14ac:dyDescent="0.35">
      <c r="A362" s="841"/>
      <c r="F362" s="951"/>
      <c r="G362" s="951"/>
      <c r="L362" s="831"/>
      <c r="M362" s="831"/>
      <c r="N362" s="831"/>
      <c r="O362" s="831"/>
      <c r="P362" s="831"/>
      <c r="Q362" s="831"/>
      <c r="R362" s="831"/>
      <c r="S362" s="831"/>
      <c r="T362" s="831"/>
      <c r="U362" s="831"/>
      <c r="V362" s="831"/>
      <c r="AI362" s="1003"/>
    </row>
    <row r="363" spans="1:35" ht="21.9" customHeight="1" x14ac:dyDescent="0.35">
      <c r="A363" s="841"/>
      <c r="F363" s="951"/>
      <c r="G363" s="951"/>
      <c r="L363" s="831"/>
      <c r="M363" s="837" t="s">
        <v>583</v>
      </c>
      <c r="N363" s="837"/>
      <c r="O363" s="837"/>
      <c r="P363" s="837">
        <v>350</v>
      </c>
      <c r="Q363" s="837" t="s">
        <v>660</v>
      </c>
      <c r="R363" s="831"/>
      <c r="S363" s="838" t="s">
        <v>518</v>
      </c>
      <c r="T363" s="837">
        <f>E30</f>
        <v>32</v>
      </c>
      <c r="U363" s="839" t="s">
        <v>519</v>
      </c>
      <c r="V363" s="831"/>
      <c r="X363" s="840" t="s">
        <v>584</v>
      </c>
      <c r="Y363" s="840"/>
      <c r="Z363" s="840"/>
      <c r="AA363" s="840">
        <v>350</v>
      </c>
      <c r="AB363" s="840" t="s">
        <v>660</v>
      </c>
      <c r="AD363" s="838" t="s">
        <v>518</v>
      </c>
      <c r="AE363" s="837">
        <f>E30</f>
        <v>32</v>
      </c>
      <c r="AF363" s="839" t="s">
        <v>519</v>
      </c>
      <c r="AI363" s="1003"/>
    </row>
    <row r="364" spans="1:35" ht="21.9" customHeight="1" x14ac:dyDescent="0.35">
      <c r="A364" s="841"/>
      <c r="F364" s="951"/>
      <c r="G364" s="951"/>
      <c r="L364" s="847" t="s">
        <v>522</v>
      </c>
      <c r="M364" s="848" t="s">
        <v>523</v>
      </c>
      <c r="N364" s="849"/>
      <c r="O364" s="849"/>
      <c r="P364" s="850"/>
      <c r="Q364" s="847" t="s">
        <v>524</v>
      </c>
      <c r="R364" s="847" t="s">
        <v>525</v>
      </c>
      <c r="S364" s="851" t="s">
        <v>526</v>
      </c>
      <c r="T364" s="852"/>
      <c r="U364" s="851" t="s">
        <v>527</v>
      </c>
      <c r="V364" s="852"/>
      <c r="W364" s="847" t="s">
        <v>522</v>
      </c>
      <c r="X364" s="848" t="s">
        <v>523</v>
      </c>
      <c r="Y364" s="849"/>
      <c r="Z364" s="849"/>
      <c r="AA364" s="850"/>
      <c r="AB364" s="847" t="s">
        <v>524</v>
      </c>
      <c r="AC364" s="847" t="s">
        <v>525</v>
      </c>
      <c r="AD364" s="851" t="s">
        <v>528</v>
      </c>
      <c r="AE364" s="852"/>
      <c r="AF364" s="851" t="s">
        <v>529</v>
      </c>
      <c r="AG364" s="852"/>
      <c r="AI364" s="1003"/>
    </row>
    <row r="365" spans="1:35" ht="21.9" customHeight="1" x14ac:dyDescent="0.35">
      <c r="A365" s="841"/>
      <c r="F365" s="951"/>
      <c r="G365" s="951"/>
      <c r="L365" s="854"/>
      <c r="M365" s="855"/>
      <c r="N365" s="856"/>
      <c r="O365" s="856"/>
      <c r="P365" s="857"/>
      <c r="Q365" s="854"/>
      <c r="R365" s="854"/>
      <c r="S365" s="858" t="s">
        <v>533</v>
      </c>
      <c r="T365" s="859"/>
      <c r="U365" s="858" t="s">
        <v>732</v>
      </c>
      <c r="V365" s="859"/>
      <c r="W365" s="854"/>
      <c r="X365" s="855"/>
      <c r="Y365" s="856"/>
      <c r="Z365" s="856"/>
      <c r="AA365" s="857"/>
      <c r="AB365" s="854"/>
      <c r="AC365" s="854"/>
      <c r="AD365" s="858" t="s">
        <v>733</v>
      </c>
      <c r="AE365" s="859"/>
      <c r="AF365" s="858" t="s">
        <v>732</v>
      </c>
      <c r="AG365" s="859"/>
      <c r="AI365" s="1003"/>
    </row>
    <row r="366" spans="1:35" ht="21.9" customHeight="1" x14ac:dyDescent="0.35">
      <c r="A366" s="841"/>
      <c r="F366" s="951"/>
      <c r="G366" s="951"/>
      <c r="L366" s="860">
        <v>1</v>
      </c>
      <c r="M366" s="861" t="s">
        <v>739</v>
      </c>
      <c r="N366" s="862"/>
      <c r="O366" s="862"/>
      <c r="P366" s="863"/>
      <c r="Q366" s="864"/>
      <c r="R366" s="864"/>
      <c r="S366" s="865"/>
      <c r="T366" s="863"/>
      <c r="U366" s="865"/>
      <c r="V366" s="863"/>
      <c r="W366" s="866">
        <v>1</v>
      </c>
      <c r="X366" s="867" t="s">
        <v>740</v>
      </c>
      <c r="Y366" s="845"/>
      <c r="Z366" s="845"/>
      <c r="AA366" s="868"/>
      <c r="AB366" s="869"/>
      <c r="AC366" s="869"/>
      <c r="AD366" s="870"/>
      <c r="AE366" s="871"/>
      <c r="AF366" s="870"/>
      <c r="AG366" s="872" t="s">
        <v>741</v>
      </c>
      <c r="AI366" s="1003"/>
    </row>
    <row r="367" spans="1:35" ht="21.9" customHeight="1" x14ac:dyDescent="0.35">
      <c r="A367" s="841"/>
      <c r="F367" s="951"/>
      <c r="G367" s="951"/>
      <c r="L367" s="877">
        <v>1.1000000000000001</v>
      </c>
      <c r="M367" s="878" t="s">
        <v>1437</v>
      </c>
      <c r="N367" s="879"/>
      <c r="O367" s="879"/>
      <c r="P367" s="880"/>
      <c r="Q367" s="877" t="s">
        <v>747</v>
      </c>
      <c r="R367" s="877">
        <v>1</v>
      </c>
      <c r="S367" s="878"/>
      <c r="T367" s="881">
        <v>2.3599999999999999E-2</v>
      </c>
      <c r="U367" s="878"/>
      <c r="V367" s="882">
        <f t="shared" ref="V367:V377" si="54">((($P$363*1000000)*T367)/100)/$T$363</f>
        <v>2581.25</v>
      </c>
      <c r="W367" s="869">
        <v>1.1000000000000001</v>
      </c>
      <c r="X367" s="870" t="s">
        <v>748</v>
      </c>
      <c r="Y367" s="883"/>
      <c r="Z367" s="883"/>
      <c r="AA367" s="884"/>
      <c r="AB367" s="869" t="s">
        <v>749</v>
      </c>
      <c r="AC367" s="869">
        <v>1</v>
      </c>
      <c r="AD367" s="870"/>
      <c r="AE367" s="957">
        <v>60000</v>
      </c>
      <c r="AF367" s="870"/>
      <c r="AG367" s="902">
        <f t="shared" ref="AG367:AG375" si="55">(AC367*AE367)</f>
        <v>60000</v>
      </c>
      <c r="AI367" s="1003"/>
    </row>
    <row r="368" spans="1:35" ht="21.9" customHeight="1" x14ac:dyDescent="0.35">
      <c r="A368" s="841"/>
      <c r="F368" s="951"/>
      <c r="G368" s="951"/>
      <c r="L368" s="877">
        <v>1.2</v>
      </c>
      <c r="M368" s="878" t="s">
        <v>752</v>
      </c>
      <c r="N368" s="879"/>
      <c r="O368" s="879"/>
      <c r="P368" s="880"/>
      <c r="Q368" s="877" t="s">
        <v>747</v>
      </c>
      <c r="R368" s="877">
        <v>1</v>
      </c>
      <c r="S368" s="878"/>
      <c r="T368" s="881">
        <v>0.35899999999999999</v>
      </c>
      <c r="U368" s="878"/>
      <c r="V368" s="882">
        <f t="shared" si="54"/>
        <v>39265.625</v>
      </c>
      <c r="W368" s="869">
        <v>1.2</v>
      </c>
      <c r="X368" s="870" t="s">
        <v>753</v>
      </c>
      <c r="Y368" s="883"/>
      <c r="Z368" s="883"/>
      <c r="AA368" s="884"/>
      <c r="AB368" s="869" t="s">
        <v>749</v>
      </c>
      <c r="AC368" s="869">
        <v>1</v>
      </c>
      <c r="AD368" s="870"/>
      <c r="AE368" s="902">
        <v>40000</v>
      </c>
      <c r="AF368" s="870"/>
      <c r="AG368" s="902">
        <f t="shared" si="55"/>
        <v>40000</v>
      </c>
      <c r="AI368" s="1003"/>
    </row>
    <row r="369" spans="1:35" ht="21.9" customHeight="1" x14ac:dyDescent="0.35">
      <c r="A369" s="841"/>
      <c r="F369" s="951"/>
      <c r="G369" s="951"/>
      <c r="L369" s="877">
        <v>1.3</v>
      </c>
      <c r="M369" s="878" t="s">
        <v>754</v>
      </c>
      <c r="N369" s="879"/>
      <c r="O369" s="879"/>
      <c r="P369" s="880"/>
      <c r="Q369" s="877" t="s">
        <v>747</v>
      </c>
      <c r="R369" s="898">
        <v>1</v>
      </c>
      <c r="S369" s="878"/>
      <c r="T369" s="881">
        <v>0.01</v>
      </c>
      <c r="U369" s="878"/>
      <c r="V369" s="882">
        <f t="shared" si="54"/>
        <v>1093.75</v>
      </c>
      <c r="W369" s="869">
        <v>1.3</v>
      </c>
      <c r="X369" s="870" t="s">
        <v>755</v>
      </c>
      <c r="Y369" s="883"/>
      <c r="Z369" s="883"/>
      <c r="AA369" s="884"/>
      <c r="AB369" s="869" t="s">
        <v>749</v>
      </c>
      <c r="AC369" s="869">
        <v>3</v>
      </c>
      <c r="AD369" s="870"/>
      <c r="AE369" s="902">
        <v>30000</v>
      </c>
      <c r="AF369" s="870"/>
      <c r="AG369" s="902">
        <f t="shared" si="55"/>
        <v>90000</v>
      </c>
      <c r="AI369" s="1003"/>
    </row>
    <row r="370" spans="1:35" ht="21.9" customHeight="1" x14ac:dyDescent="0.35">
      <c r="A370" s="841"/>
      <c r="F370" s="951"/>
      <c r="G370" s="951"/>
      <c r="L370" s="877">
        <v>1.4</v>
      </c>
      <c r="M370" s="878" t="s">
        <v>453</v>
      </c>
      <c r="N370" s="879"/>
      <c r="O370" s="879"/>
      <c r="P370" s="880"/>
      <c r="Q370" s="877" t="s">
        <v>747</v>
      </c>
      <c r="R370" s="877">
        <v>1</v>
      </c>
      <c r="S370" s="878"/>
      <c r="T370" s="881">
        <v>7.2599999999999998E-2</v>
      </c>
      <c r="U370" s="878"/>
      <c r="V370" s="882">
        <f t="shared" si="54"/>
        <v>7940.625</v>
      </c>
      <c r="W370" s="869">
        <v>1.4</v>
      </c>
      <c r="X370" s="870" t="s">
        <v>454</v>
      </c>
      <c r="Y370" s="883"/>
      <c r="Z370" s="883"/>
      <c r="AA370" s="884"/>
      <c r="AB370" s="869" t="s">
        <v>749</v>
      </c>
      <c r="AC370" s="869">
        <v>1</v>
      </c>
      <c r="AD370" s="870"/>
      <c r="AE370" s="902">
        <v>40000</v>
      </c>
      <c r="AF370" s="870"/>
      <c r="AG370" s="902">
        <f t="shared" si="55"/>
        <v>40000</v>
      </c>
      <c r="AI370" s="1003"/>
    </row>
    <row r="371" spans="1:35" ht="21.9" customHeight="1" x14ac:dyDescent="0.35">
      <c r="A371" s="841"/>
      <c r="F371" s="951"/>
      <c r="G371" s="951"/>
      <c r="L371" s="900">
        <v>2</v>
      </c>
      <c r="M371" s="901" t="s">
        <v>455</v>
      </c>
      <c r="N371" s="879"/>
      <c r="O371" s="879"/>
      <c r="P371" s="880"/>
      <c r="Q371" s="877"/>
      <c r="R371" s="877"/>
      <c r="S371" s="878"/>
      <c r="T371" s="882">
        <v>0</v>
      </c>
      <c r="U371" s="878"/>
      <c r="V371" s="882">
        <f t="shared" si="54"/>
        <v>0</v>
      </c>
      <c r="W371" s="869">
        <v>1.5</v>
      </c>
      <c r="X371" s="870" t="s">
        <v>456</v>
      </c>
      <c r="Y371" s="883"/>
      <c r="Z371" s="883"/>
      <c r="AA371" s="884"/>
      <c r="AB371" s="869" t="s">
        <v>749</v>
      </c>
      <c r="AC371" s="869">
        <v>3</v>
      </c>
      <c r="AD371" s="870"/>
      <c r="AE371" s="902">
        <v>12000</v>
      </c>
      <c r="AF371" s="870"/>
      <c r="AG371" s="902">
        <f t="shared" si="55"/>
        <v>36000</v>
      </c>
      <c r="AI371" s="1003"/>
    </row>
    <row r="372" spans="1:35" ht="21.9" customHeight="1" x14ac:dyDescent="0.35">
      <c r="A372" s="841"/>
      <c r="F372" s="951"/>
      <c r="G372" s="951"/>
      <c r="L372" s="877">
        <v>2.1</v>
      </c>
      <c r="M372" s="878" t="s">
        <v>457</v>
      </c>
      <c r="N372" s="879"/>
      <c r="O372" s="879"/>
      <c r="P372" s="880"/>
      <c r="Q372" s="877" t="s">
        <v>747</v>
      </c>
      <c r="R372" s="877">
        <v>1</v>
      </c>
      <c r="S372" s="878"/>
      <c r="T372" s="881">
        <v>0.14030000000000001</v>
      </c>
      <c r="U372" s="878"/>
      <c r="V372" s="882">
        <f t="shared" si="54"/>
        <v>15345.3125</v>
      </c>
      <c r="W372" s="869">
        <v>1.6</v>
      </c>
      <c r="X372" s="870" t="s">
        <v>458</v>
      </c>
      <c r="Y372" s="883"/>
      <c r="Z372" s="883"/>
      <c r="AA372" s="884"/>
      <c r="AB372" s="869" t="s">
        <v>749</v>
      </c>
      <c r="AC372" s="869">
        <v>3</v>
      </c>
      <c r="AD372" s="870"/>
      <c r="AE372" s="902">
        <v>8000</v>
      </c>
      <c r="AF372" s="870"/>
      <c r="AG372" s="902">
        <f t="shared" si="55"/>
        <v>24000</v>
      </c>
      <c r="AI372" s="1003"/>
    </row>
    <row r="373" spans="1:35" ht="21.9" customHeight="1" x14ac:dyDescent="0.35">
      <c r="A373" s="841"/>
      <c r="F373" s="951"/>
      <c r="G373" s="951"/>
      <c r="L373" s="877">
        <v>2.2000000000000002</v>
      </c>
      <c r="M373" s="878" t="s">
        <v>459</v>
      </c>
      <c r="N373" s="879"/>
      <c r="O373" s="879"/>
      <c r="P373" s="880"/>
      <c r="Q373" s="877" t="s">
        <v>747</v>
      </c>
      <c r="R373" s="877">
        <v>1</v>
      </c>
      <c r="S373" s="878"/>
      <c r="T373" s="881">
        <v>0.70620000000000005</v>
      </c>
      <c r="U373" s="878"/>
      <c r="V373" s="882">
        <f t="shared" si="54"/>
        <v>77240.625000000015</v>
      </c>
      <c r="W373" s="869">
        <v>1.7</v>
      </c>
      <c r="X373" s="870" t="s">
        <v>460</v>
      </c>
      <c r="Y373" s="883"/>
      <c r="Z373" s="883"/>
      <c r="AA373" s="884"/>
      <c r="AB373" s="869" t="s">
        <v>749</v>
      </c>
      <c r="AC373" s="869">
        <v>3</v>
      </c>
      <c r="AD373" s="870"/>
      <c r="AE373" s="902">
        <v>12000</v>
      </c>
      <c r="AF373" s="870"/>
      <c r="AG373" s="902">
        <f t="shared" si="55"/>
        <v>36000</v>
      </c>
      <c r="AI373" s="1003"/>
    </row>
    <row r="374" spans="1:35" ht="21.9" customHeight="1" x14ac:dyDescent="0.35">
      <c r="A374" s="841"/>
      <c r="F374" s="951"/>
      <c r="G374" s="951"/>
      <c r="L374" s="877">
        <v>2.2999999999999998</v>
      </c>
      <c r="M374" s="878" t="s">
        <v>461</v>
      </c>
      <c r="N374" s="879"/>
      <c r="O374" s="879"/>
      <c r="P374" s="880"/>
      <c r="Q374" s="877" t="s">
        <v>747</v>
      </c>
      <c r="R374" s="877">
        <v>1</v>
      </c>
      <c r="S374" s="878"/>
      <c r="T374" s="881">
        <v>2.4299999999999999E-2</v>
      </c>
      <c r="U374" s="878"/>
      <c r="V374" s="882">
        <f t="shared" si="54"/>
        <v>2657.8125</v>
      </c>
      <c r="W374" s="869">
        <v>1.8</v>
      </c>
      <c r="X374" s="870" t="s">
        <v>462</v>
      </c>
      <c r="Y374" s="845"/>
      <c r="Z374" s="845"/>
      <c r="AA374" s="868"/>
      <c r="AB374" s="869" t="s">
        <v>749</v>
      </c>
      <c r="AC374" s="869">
        <v>3</v>
      </c>
      <c r="AD374" s="870"/>
      <c r="AE374" s="902">
        <v>8000</v>
      </c>
      <c r="AF374" s="870"/>
      <c r="AG374" s="902">
        <f t="shared" si="55"/>
        <v>24000</v>
      </c>
      <c r="AI374" s="1003"/>
    </row>
    <row r="375" spans="1:35" ht="21.9" customHeight="1" x14ac:dyDescent="0.35">
      <c r="A375" s="841"/>
      <c r="F375" s="951"/>
      <c r="G375" s="951"/>
      <c r="L375" s="877">
        <v>2.4</v>
      </c>
      <c r="M375" s="878" t="s">
        <v>463</v>
      </c>
      <c r="N375" s="879"/>
      <c r="O375" s="879"/>
      <c r="P375" s="880"/>
      <c r="Q375" s="877" t="s">
        <v>747</v>
      </c>
      <c r="R375" s="877">
        <v>1</v>
      </c>
      <c r="S375" s="878"/>
      <c r="T375" s="881">
        <v>1.8700000000000001E-2</v>
      </c>
      <c r="U375" s="878"/>
      <c r="V375" s="882">
        <f t="shared" si="54"/>
        <v>2045.3125000000002</v>
      </c>
      <c r="W375" s="869">
        <v>1.9</v>
      </c>
      <c r="X375" s="870" t="s">
        <v>464</v>
      </c>
      <c r="Y375" s="883"/>
      <c r="Z375" s="883"/>
      <c r="AA375" s="884"/>
      <c r="AB375" s="869" t="s">
        <v>749</v>
      </c>
      <c r="AC375" s="869">
        <v>0</v>
      </c>
      <c r="AD375" s="870"/>
      <c r="AE375" s="902">
        <v>0</v>
      </c>
      <c r="AF375" s="870"/>
      <c r="AG375" s="902">
        <f t="shared" si="55"/>
        <v>0</v>
      </c>
      <c r="AI375" s="1003"/>
    </row>
    <row r="376" spans="1:35" ht="21.9" customHeight="1" x14ac:dyDescent="0.35">
      <c r="A376" s="841"/>
      <c r="F376" s="951"/>
      <c r="G376" s="951"/>
      <c r="L376" s="877" t="s">
        <v>741</v>
      </c>
      <c r="M376" s="878" t="s">
        <v>741</v>
      </c>
      <c r="N376" s="879"/>
      <c r="O376" s="879"/>
      <c r="P376" s="880"/>
      <c r="Q376" s="877" t="s">
        <v>741</v>
      </c>
      <c r="R376" s="877" t="s">
        <v>741</v>
      </c>
      <c r="S376" s="878"/>
      <c r="T376" s="882">
        <v>0</v>
      </c>
      <c r="U376" s="878" t="s">
        <v>741</v>
      </c>
      <c r="V376" s="882">
        <f t="shared" si="54"/>
        <v>0</v>
      </c>
      <c r="W376" s="869" t="s">
        <v>741</v>
      </c>
      <c r="X376" s="870" t="s">
        <v>741</v>
      </c>
      <c r="Y376" s="883"/>
      <c r="Z376" s="883"/>
      <c r="AA376" s="884"/>
      <c r="AB376" s="869" t="s">
        <v>741</v>
      </c>
      <c r="AC376" s="869" t="s">
        <v>741</v>
      </c>
      <c r="AD376" s="870"/>
      <c r="AE376" s="871" t="s">
        <v>741</v>
      </c>
      <c r="AF376" s="870"/>
      <c r="AG376" s="902" t="s">
        <v>741</v>
      </c>
      <c r="AI376" s="1003"/>
    </row>
    <row r="377" spans="1:35" ht="21.9" customHeight="1" x14ac:dyDescent="0.35">
      <c r="A377" s="841"/>
      <c r="F377" s="951"/>
      <c r="G377" s="951"/>
      <c r="L377" s="877" t="s">
        <v>741</v>
      </c>
      <c r="M377" s="878" t="s">
        <v>741</v>
      </c>
      <c r="N377" s="879"/>
      <c r="O377" s="879"/>
      <c r="P377" s="880"/>
      <c r="Q377" s="877" t="s">
        <v>741</v>
      </c>
      <c r="R377" s="877" t="s">
        <v>741</v>
      </c>
      <c r="S377" s="878"/>
      <c r="T377" s="882">
        <v>0</v>
      </c>
      <c r="U377" s="878" t="s">
        <v>741</v>
      </c>
      <c r="V377" s="882">
        <f t="shared" si="54"/>
        <v>0</v>
      </c>
      <c r="W377" s="869" t="s">
        <v>741</v>
      </c>
      <c r="X377" s="870" t="s">
        <v>741</v>
      </c>
      <c r="Y377" s="883"/>
      <c r="Z377" s="883"/>
      <c r="AA377" s="884"/>
      <c r="AB377" s="869" t="s">
        <v>741</v>
      </c>
      <c r="AC377" s="869" t="s">
        <v>741</v>
      </c>
      <c r="AD377" s="870"/>
      <c r="AE377" s="871" t="s">
        <v>741</v>
      </c>
      <c r="AF377" s="870"/>
      <c r="AG377" s="902" t="s">
        <v>741</v>
      </c>
      <c r="AI377" s="1003"/>
    </row>
    <row r="378" spans="1:35" ht="21.9" customHeight="1" x14ac:dyDescent="0.35">
      <c r="A378" s="841"/>
      <c r="F378" s="951"/>
      <c r="G378" s="951"/>
      <c r="L378" s="903" t="s">
        <v>260</v>
      </c>
      <c r="M378" s="904"/>
      <c r="N378" s="904"/>
      <c r="O378" s="904"/>
      <c r="P378" s="904"/>
      <c r="Q378" s="904"/>
      <c r="R378" s="904"/>
      <c r="S378" s="904"/>
      <c r="T378" s="905"/>
      <c r="U378" s="906"/>
      <c r="V378" s="907">
        <f>SUM(V366:V377)</f>
        <v>148170.3125</v>
      </c>
      <c r="W378" s="908" t="s">
        <v>260</v>
      </c>
      <c r="X378" s="909"/>
      <c r="Y378" s="909"/>
      <c r="Z378" s="909"/>
      <c r="AA378" s="909"/>
      <c r="AB378" s="909"/>
      <c r="AC378" s="909"/>
      <c r="AD378" s="909"/>
      <c r="AE378" s="910"/>
      <c r="AF378" s="911"/>
      <c r="AG378" s="912">
        <f>SUM(AG367:AG377)</f>
        <v>350000</v>
      </c>
      <c r="AI378" s="1003"/>
    </row>
    <row r="379" spans="1:35" ht="21.9" customHeight="1" x14ac:dyDescent="0.35">
      <c r="A379" s="841"/>
      <c r="F379" s="951"/>
      <c r="G379" s="951"/>
      <c r="L379" s="831"/>
      <c r="M379" s="831"/>
      <c r="N379" s="831"/>
      <c r="O379" s="831"/>
      <c r="P379" s="831"/>
      <c r="Q379" s="831"/>
      <c r="R379" s="831"/>
      <c r="S379" s="831"/>
      <c r="T379" s="831"/>
      <c r="U379" s="831"/>
      <c r="V379" s="831"/>
      <c r="W379" s="984" t="s">
        <v>741</v>
      </c>
      <c r="X379" s="862" t="s">
        <v>741</v>
      </c>
      <c r="Y379" s="862"/>
      <c r="Z379" s="862"/>
      <c r="AA379" s="862"/>
      <c r="AB379" s="984" t="s">
        <v>741</v>
      </c>
      <c r="AC379" s="984" t="s">
        <v>741</v>
      </c>
      <c r="AD379" s="862"/>
      <c r="AE379" s="985" t="s">
        <v>741</v>
      </c>
      <c r="AF379" s="862"/>
      <c r="AG379" s="985" t="s">
        <v>741</v>
      </c>
      <c r="AI379" s="1003"/>
    </row>
    <row r="380" spans="1:35" ht="21.9" customHeight="1" x14ac:dyDescent="0.35">
      <c r="A380" s="841"/>
      <c r="F380" s="951"/>
      <c r="G380" s="951"/>
      <c r="L380" s="831"/>
      <c r="M380" s="837" t="s">
        <v>585</v>
      </c>
      <c r="N380" s="837"/>
      <c r="O380" s="837"/>
      <c r="P380" s="837">
        <v>400</v>
      </c>
      <c r="Q380" s="837" t="s">
        <v>660</v>
      </c>
      <c r="R380" s="831"/>
      <c r="S380" s="838" t="s">
        <v>518</v>
      </c>
      <c r="T380" s="837">
        <f>E31</f>
        <v>36</v>
      </c>
      <c r="U380" s="839" t="s">
        <v>519</v>
      </c>
      <c r="V380" s="831"/>
      <c r="W380" s="883"/>
      <c r="X380" s="837" t="s">
        <v>586</v>
      </c>
      <c r="Y380" s="837"/>
      <c r="Z380" s="837"/>
      <c r="AA380" s="837">
        <v>400</v>
      </c>
      <c r="AB380" s="837" t="s">
        <v>660</v>
      </c>
      <c r="AC380" s="831"/>
      <c r="AD380" s="838" t="s">
        <v>518</v>
      </c>
      <c r="AE380" s="837">
        <f>E31</f>
        <v>36</v>
      </c>
      <c r="AF380" s="839" t="s">
        <v>519</v>
      </c>
      <c r="AG380" s="831"/>
      <c r="AI380" s="1003"/>
    </row>
    <row r="381" spans="1:35" ht="21.9" customHeight="1" x14ac:dyDescent="0.35">
      <c r="A381" s="841"/>
      <c r="F381" s="951"/>
      <c r="G381" s="951"/>
      <c r="L381" s="847" t="s">
        <v>522</v>
      </c>
      <c r="M381" s="848" t="s">
        <v>523</v>
      </c>
      <c r="N381" s="849"/>
      <c r="O381" s="849"/>
      <c r="P381" s="850"/>
      <c r="Q381" s="847" t="s">
        <v>524</v>
      </c>
      <c r="R381" s="847" t="s">
        <v>525</v>
      </c>
      <c r="S381" s="851" t="s">
        <v>526</v>
      </c>
      <c r="T381" s="852"/>
      <c r="U381" s="851" t="s">
        <v>527</v>
      </c>
      <c r="V381" s="852"/>
      <c r="W381" s="847" t="s">
        <v>522</v>
      </c>
      <c r="X381" s="848" t="s">
        <v>523</v>
      </c>
      <c r="Y381" s="849"/>
      <c r="Z381" s="849"/>
      <c r="AA381" s="850"/>
      <c r="AB381" s="847" t="s">
        <v>524</v>
      </c>
      <c r="AC381" s="847" t="s">
        <v>525</v>
      </c>
      <c r="AD381" s="851" t="s">
        <v>528</v>
      </c>
      <c r="AE381" s="852"/>
      <c r="AF381" s="851" t="s">
        <v>529</v>
      </c>
      <c r="AG381" s="852"/>
      <c r="AI381" s="1003"/>
    </row>
    <row r="382" spans="1:35" ht="21.9" customHeight="1" x14ac:dyDescent="0.35">
      <c r="A382" s="841"/>
      <c r="F382" s="951"/>
      <c r="G382" s="951"/>
      <c r="L382" s="854"/>
      <c r="M382" s="855"/>
      <c r="N382" s="856"/>
      <c r="O382" s="856"/>
      <c r="P382" s="857"/>
      <c r="Q382" s="854"/>
      <c r="R382" s="854"/>
      <c r="S382" s="858" t="s">
        <v>533</v>
      </c>
      <c r="T382" s="859"/>
      <c r="U382" s="858" t="s">
        <v>732</v>
      </c>
      <c r="V382" s="859"/>
      <c r="W382" s="854"/>
      <c r="X382" s="855"/>
      <c r="Y382" s="856"/>
      <c r="Z382" s="856"/>
      <c r="AA382" s="857"/>
      <c r="AB382" s="854"/>
      <c r="AC382" s="854"/>
      <c r="AD382" s="858" t="s">
        <v>733</v>
      </c>
      <c r="AE382" s="859"/>
      <c r="AF382" s="858" t="s">
        <v>732</v>
      </c>
      <c r="AG382" s="859"/>
      <c r="AI382" s="1003"/>
    </row>
    <row r="383" spans="1:35" ht="21.9" customHeight="1" x14ac:dyDescent="0.35">
      <c r="A383" s="841"/>
      <c r="F383" s="951"/>
      <c r="G383" s="951"/>
      <c r="L383" s="860">
        <v>1</v>
      </c>
      <c r="M383" s="861" t="s">
        <v>739</v>
      </c>
      <c r="N383" s="862"/>
      <c r="O383" s="862"/>
      <c r="P383" s="863"/>
      <c r="Q383" s="864"/>
      <c r="R383" s="864"/>
      <c r="S383" s="865"/>
      <c r="T383" s="863"/>
      <c r="U383" s="865"/>
      <c r="V383" s="863"/>
      <c r="W383" s="866">
        <v>1</v>
      </c>
      <c r="X383" s="867" t="s">
        <v>740</v>
      </c>
      <c r="Y383" s="845"/>
      <c r="Z383" s="845"/>
      <c r="AA383" s="868"/>
      <c r="AB383" s="869"/>
      <c r="AC383" s="869"/>
      <c r="AD383" s="870"/>
      <c r="AE383" s="871"/>
      <c r="AF383" s="870"/>
      <c r="AG383" s="872" t="s">
        <v>741</v>
      </c>
      <c r="AI383" s="1003"/>
    </row>
    <row r="384" spans="1:35" ht="21.9" customHeight="1" x14ac:dyDescent="0.35">
      <c r="A384" s="841"/>
      <c r="F384" s="951"/>
      <c r="G384" s="951"/>
      <c r="L384" s="877">
        <v>1.1000000000000001</v>
      </c>
      <c r="M384" s="878" t="s">
        <v>1437</v>
      </c>
      <c r="N384" s="879"/>
      <c r="O384" s="879"/>
      <c r="P384" s="880"/>
      <c r="Q384" s="877" t="s">
        <v>747</v>
      </c>
      <c r="R384" s="877">
        <v>1</v>
      </c>
      <c r="S384" s="878"/>
      <c r="T384" s="881">
        <v>2.3599999999999999E-2</v>
      </c>
      <c r="U384" s="878"/>
      <c r="V384" s="882">
        <f t="shared" ref="V384:V394" si="56">((($P$380*1000000)*T384)/100)/$T$380</f>
        <v>2622.2222222222222</v>
      </c>
      <c r="W384" s="869">
        <v>1.1000000000000001</v>
      </c>
      <c r="X384" s="870" t="s">
        <v>748</v>
      </c>
      <c r="Y384" s="883"/>
      <c r="Z384" s="883"/>
      <c r="AA384" s="884"/>
      <c r="AB384" s="869" t="s">
        <v>749</v>
      </c>
      <c r="AC384" s="869">
        <v>1</v>
      </c>
      <c r="AD384" s="870"/>
      <c r="AE384" s="957">
        <v>60000</v>
      </c>
      <c r="AF384" s="870"/>
      <c r="AG384" s="902">
        <f t="shared" ref="AG384:AG392" si="57">(AC384*AE384)</f>
        <v>60000</v>
      </c>
      <c r="AI384" s="1003"/>
    </row>
    <row r="385" spans="1:35" ht="21.9" customHeight="1" x14ac:dyDescent="0.35">
      <c r="A385" s="841"/>
      <c r="F385" s="951"/>
      <c r="G385" s="951"/>
      <c r="L385" s="877">
        <v>1.2</v>
      </c>
      <c r="M385" s="878" t="s">
        <v>752</v>
      </c>
      <c r="N385" s="879"/>
      <c r="O385" s="879"/>
      <c r="P385" s="880"/>
      <c r="Q385" s="877" t="s">
        <v>747</v>
      </c>
      <c r="R385" s="877">
        <v>1</v>
      </c>
      <c r="S385" s="878"/>
      <c r="T385" s="881">
        <v>0.35899999999999999</v>
      </c>
      <c r="U385" s="878"/>
      <c r="V385" s="882">
        <f t="shared" si="56"/>
        <v>39888.888888888891</v>
      </c>
      <c r="W385" s="869">
        <v>1.2</v>
      </c>
      <c r="X385" s="870" t="s">
        <v>753</v>
      </c>
      <c r="Y385" s="883"/>
      <c r="Z385" s="883"/>
      <c r="AA385" s="884"/>
      <c r="AB385" s="869" t="s">
        <v>749</v>
      </c>
      <c r="AC385" s="869">
        <v>1</v>
      </c>
      <c r="AD385" s="870"/>
      <c r="AE385" s="902">
        <v>40000</v>
      </c>
      <c r="AF385" s="870"/>
      <c r="AG385" s="902">
        <f t="shared" si="57"/>
        <v>40000</v>
      </c>
      <c r="AI385" s="1003"/>
    </row>
    <row r="386" spans="1:35" ht="21.9" customHeight="1" x14ac:dyDescent="0.35">
      <c r="A386" s="841"/>
      <c r="F386" s="951"/>
      <c r="G386" s="951"/>
      <c r="L386" s="877">
        <v>1.3</v>
      </c>
      <c r="M386" s="878" t="s">
        <v>754</v>
      </c>
      <c r="N386" s="879"/>
      <c r="O386" s="879"/>
      <c r="P386" s="880"/>
      <c r="Q386" s="877" t="s">
        <v>747</v>
      </c>
      <c r="R386" s="898">
        <v>1</v>
      </c>
      <c r="S386" s="878"/>
      <c r="T386" s="881">
        <v>0.01</v>
      </c>
      <c r="U386" s="878"/>
      <c r="V386" s="882">
        <f t="shared" si="56"/>
        <v>1111.1111111111111</v>
      </c>
      <c r="W386" s="869">
        <v>1.3</v>
      </c>
      <c r="X386" s="870" t="s">
        <v>755</v>
      </c>
      <c r="Y386" s="883"/>
      <c r="Z386" s="883"/>
      <c r="AA386" s="884"/>
      <c r="AB386" s="869" t="s">
        <v>749</v>
      </c>
      <c r="AC386" s="869">
        <v>3</v>
      </c>
      <c r="AD386" s="870"/>
      <c r="AE386" s="902">
        <v>30000</v>
      </c>
      <c r="AF386" s="870"/>
      <c r="AG386" s="902">
        <f t="shared" si="57"/>
        <v>90000</v>
      </c>
      <c r="AI386" s="1003"/>
    </row>
    <row r="387" spans="1:35" ht="21.9" customHeight="1" x14ac:dyDescent="0.35">
      <c r="A387" s="841"/>
      <c r="F387" s="951"/>
      <c r="G387" s="951"/>
      <c r="L387" s="877">
        <v>1.4</v>
      </c>
      <c r="M387" s="878" t="s">
        <v>453</v>
      </c>
      <c r="N387" s="879"/>
      <c r="O387" s="879"/>
      <c r="P387" s="880"/>
      <c r="Q387" s="877" t="s">
        <v>747</v>
      </c>
      <c r="R387" s="877">
        <v>1</v>
      </c>
      <c r="S387" s="878"/>
      <c r="T387" s="881">
        <v>7.2599999999999998E-2</v>
      </c>
      <c r="U387" s="878"/>
      <c r="V387" s="882">
        <f t="shared" si="56"/>
        <v>8066.666666666667</v>
      </c>
      <c r="W387" s="869">
        <v>1.4</v>
      </c>
      <c r="X387" s="870" t="s">
        <v>454</v>
      </c>
      <c r="Y387" s="883"/>
      <c r="Z387" s="883"/>
      <c r="AA387" s="884"/>
      <c r="AB387" s="869" t="s">
        <v>749</v>
      </c>
      <c r="AC387" s="869">
        <v>1</v>
      </c>
      <c r="AD387" s="870"/>
      <c r="AE387" s="902">
        <v>40000</v>
      </c>
      <c r="AF387" s="870"/>
      <c r="AG387" s="902">
        <f t="shared" si="57"/>
        <v>40000</v>
      </c>
      <c r="AI387" s="1003"/>
    </row>
    <row r="388" spans="1:35" ht="21.9" customHeight="1" x14ac:dyDescent="0.35">
      <c r="A388" s="841"/>
      <c r="F388" s="951"/>
      <c r="G388" s="951"/>
      <c r="L388" s="900">
        <v>2</v>
      </c>
      <c r="M388" s="901" t="s">
        <v>455</v>
      </c>
      <c r="N388" s="879"/>
      <c r="O388" s="879"/>
      <c r="P388" s="880"/>
      <c r="Q388" s="877"/>
      <c r="R388" s="877"/>
      <c r="S388" s="878"/>
      <c r="T388" s="882">
        <v>0</v>
      </c>
      <c r="U388" s="878"/>
      <c r="V388" s="882">
        <f t="shared" si="56"/>
        <v>0</v>
      </c>
      <c r="W388" s="869">
        <v>1.5</v>
      </c>
      <c r="X388" s="870" t="s">
        <v>456</v>
      </c>
      <c r="Y388" s="883"/>
      <c r="Z388" s="883"/>
      <c r="AA388" s="884"/>
      <c r="AB388" s="869" t="s">
        <v>749</v>
      </c>
      <c r="AC388" s="869">
        <v>3</v>
      </c>
      <c r="AD388" s="870"/>
      <c r="AE388" s="902">
        <v>12000</v>
      </c>
      <c r="AF388" s="870"/>
      <c r="AG388" s="902">
        <f t="shared" si="57"/>
        <v>36000</v>
      </c>
      <c r="AI388" s="1003"/>
    </row>
    <row r="389" spans="1:35" ht="21.9" customHeight="1" x14ac:dyDescent="0.35">
      <c r="A389" s="841"/>
      <c r="F389" s="951"/>
      <c r="G389" s="951"/>
      <c r="L389" s="877">
        <v>2.1</v>
      </c>
      <c r="M389" s="878" t="s">
        <v>457</v>
      </c>
      <c r="N389" s="879"/>
      <c r="O389" s="879"/>
      <c r="P389" s="880"/>
      <c r="Q389" s="877" t="s">
        <v>747</v>
      </c>
      <c r="R389" s="877">
        <v>1</v>
      </c>
      <c r="S389" s="878"/>
      <c r="T389" s="881">
        <v>0.12939999999999999</v>
      </c>
      <c r="U389" s="878"/>
      <c r="V389" s="882">
        <f t="shared" si="56"/>
        <v>14377.777777777776</v>
      </c>
      <c r="W389" s="869">
        <v>1.6</v>
      </c>
      <c r="X389" s="870" t="s">
        <v>458</v>
      </c>
      <c r="Y389" s="883"/>
      <c r="Z389" s="883"/>
      <c r="AA389" s="884"/>
      <c r="AB389" s="869" t="s">
        <v>749</v>
      </c>
      <c r="AC389" s="869">
        <v>3</v>
      </c>
      <c r="AD389" s="870"/>
      <c r="AE389" s="902">
        <v>8000</v>
      </c>
      <c r="AF389" s="870"/>
      <c r="AG389" s="902">
        <f t="shared" si="57"/>
        <v>24000</v>
      </c>
      <c r="AI389" s="1003"/>
    </row>
    <row r="390" spans="1:35" ht="21.9" customHeight="1" x14ac:dyDescent="0.35">
      <c r="A390" s="841"/>
      <c r="F390" s="951"/>
      <c r="G390" s="951"/>
      <c r="L390" s="877">
        <v>2.2000000000000002</v>
      </c>
      <c r="M390" s="878" t="s">
        <v>459</v>
      </c>
      <c r="N390" s="879"/>
      <c r="O390" s="879"/>
      <c r="P390" s="880"/>
      <c r="Q390" s="877" t="s">
        <v>747</v>
      </c>
      <c r="R390" s="877">
        <v>1</v>
      </c>
      <c r="S390" s="878"/>
      <c r="T390" s="881">
        <v>0.65559999999999996</v>
      </c>
      <c r="U390" s="878"/>
      <c r="V390" s="882">
        <f t="shared" si="56"/>
        <v>72844.444444444438</v>
      </c>
      <c r="W390" s="869">
        <v>1.7</v>
      </c>
      <c r="X390" s="870" t="s">
        <v>460</v>
      </c>
      <c r="Y390" s="883"/>
      <c r="Z390" s="883"/>
      <c r="AA390" s="884"/>
      <c r="AB390" s="869" t="s">
        <v>749</v>
      </c>
      <c r="AC390" s="869">
        <v>3</v>
      </c>
      <c r="AD390" s="870"/>
      <c r="AE390" s="902">
        <v>12000</v>
      </c>
      <c r="AF390" s="870"/>
      <c r="AG390" s="902">
        <f t="shared" si="57"/>
        <v>36000</v>
      </c>
      <c r="AI390" s="1003"/>
    </row>
    <row r="391" spans="1:35" ht="21.9" customHeight="1" x14ac:dyDescent="0.35">
      <c r="A391" s="841"/>
      <c r="F391" s="951"/>
      <c r="G391" s="951"/>
      <c r="L391" s="877">
        <v>2.2999999999999998</v>
      </c>
      <c r="M391" s="878" t="s">
        <v>461</v>
      </c>
      <c r="N391" s="879"/>
      <c r="O391" s="879"/>
      <c r="P391" s="880"/>
      <c r="Q391" s="877" t="s">
        <v>747</v>
      </c>
      <c r="R391" s="877">
        <v>1</v>
      </c>
      <c r="S391" s="878"/>
      <c r="T391" s="881">
        <v>2.4299999999999999E-2</v>
      </c>
      <c r="U391" s="878"/>
      <c r="V391" s="882">
        <f t="shared" si="56"/>
        <v>2700</v>
      </c>
      <c r="W391" s="869">
        <v>1.8</v>
      </c>
      <c r="X391" s="870" t="s">
        <v>462</v>
      </c>
      <c r="Y391" s="845"/>
      <c r="Z391" s="845"/>
      <c r="AA391" s="868"/>
      <c r="AB391" s="869" t="s">
        <v>749</v>
      </c>
      <c r="AC391" s="869">
        <v>3</v>
      </c>
      <c r="AD391" s="870"/>
      <c r="AE391" s="902">
        <v>8000</v>
      </c>
      <c r="AF391" s="870"/>
      <c r="AG391" s="902">
        <f t="shared" si="57"/>
        <v>24000</v>
      </c>
      <c r="AI391" s="1003"/>
    </row>
    <row r="392" spans="1:35" ht="21.9" customHeight="1" x14ac:dyDescent="0.35">
      <c r="A392" s="841"/>
      <c r="F392" s="951"/>
      <c r="G392" s="951"/>
      <c r="L392" s="877">
        <v>2.4</v>
      </c>
      <c r="M392" s="878" t="s">
        <v>463</v>
      </c>
      <c r="N392" s="879"/>
      <c r="O392" s="879"/>
      <c r="P392" s="880"/>
      <c r="Q392" s="877" t="s">
        <v>747</v>
      </c>
      <c r="R392" s="877">
        <v>1</v>
      </c>
      <c r="S392" s="878"/>
      <c r="T392" s="881">
        <v>1.8700000000000001E-2</v>
      </c>
      <c r="U392" s="878"/>
      <c r="V392" s="882">
        <f t="shared" si="56"/>
        <v>2077.7777777777783</v>
      </c>
      <c r="W392" s="869">
        <v>1.9</v>
      </c>
      <c r="X392" s="870" t="s">
        <v>464</v>
      </c>
      <c r="Y392" s="883"/>
      <c r="Z392" s="883"/>
      <c r="AA392" s="884"/>
      <c r="AB392" s="869" t="s">
        <v>749</v>
      </c>
      <c r="AC392" s="869">
        <v>0</v>
      </c>
      <c r="AD392" s="870"/>
      <c r="AE392" s="902">
        <v>0</v>
      </c>
      <c r="AF392" s="870"/>
      <c r="AG392" s="902">
        <f t="shared" si="57"/>
        <v>0</v>
      </c>
      <c r="AI392" s="1003"/>
    </row>
    <row r="393" spans="1:35" ht="21.9" customHeight="1" x14ac:dyDescent="0.35">
      <c r="A393" s="841"/>
      <c r="F393" s="951"/>
      <c r="G393" s="951"/>
      <c r="L393" s="877" t="s">
        <v>741</v>
      </c>
      <c r="M393" s="878" t="s">
        <v>741</v>
      </c>
      <c r="N393" s="879"/>
      <c r="O393" s="879"/>
      <c r="P393" s="880"/>
      <c r="Q393" s="877" t="s">
        <v>741</v>
      </c>
      <c r="R393" s="877" t="s">
        <v>741</v>
      </c>
      <c r="S393" s="878"/>
      <c r="T393" s="882">
        <v>0</v>
      </c>
      <c r="U393" s="878" t="s">
        <v>741</v>
      </c>
      <c r="V393" s="882">
        <f t="shared" si="56"/>
        <v>0</v>
      </c>
      <c r="W393" s="869" t="s">
        <v>741</v>
      </c>
      <c r="X393" s="870" t="s">
        <v>741</v>
      </c>
      <c r="Y393" s="845"/>
      <c r="Z393" s="845"/>
      <c r="AA393" s="868"/>
      <c r="AB393" s="869" t="s">
        <v>741</v>
      </c>
      <c r="AC393" s="869" t="s">
        <v>741</v>
      </c>
      <c r="AD393" s="870"/>
      <c r="AE393" s="871"/>
      <c r="AF393" s="870"/>
      <c r="AG393" s="902" t="s">
        <v>741</v>
      </c>
      <c r="AI393" s="1003"/>
    </row>
    <row r="394" spans="1:35" ht="21.9" customHeight="1" x14ac:dyDescent="0.35">
      <c r="A394" s="841"/>
      <c r="F394" s="951"/>
      <c r="G394" s="951"/>
      <c r="L394" s="877" t="s">
        <v>741</v>
      </c>
      <c r="M394" s="878" t="s">
        <v>741</v>
      </c>
      <c r="N394" s="879"/>
      <c r="O394" s="879"/>
      <c r="P394" s="880"/>
      <c r="Q394" s="877" t="s">
        <v>741</v>
      </c>
      <c r="R394" s="877" t="s">
        <v>741</v>
      </c>
      <c r="S394" s="878"/>
      <c r="T394" s="882">
        <v>0</v>
      </c>
      <c r="U394" s="878" t="s">
        <v>741</v>
      </c>
      <c r="V394" s="882">
        <f t="shared" si="56"/>
        <v>0</v>
      </c>
      <c r="W394" s="869" t="s">
        <v>741</v>
      </c>
      <c r="X394" s="870" t="s">
        <v>741</v>
      </c>
      <c r="Y394" s="883"/>
      <c r="Z394" s="883"/>
      <c r="AA394" s="884"/>
      <c r="AB394" s="869" t="s">
        <v>741</v>
      </c>
      <c r="AC394" s="869" t="s">
        <v>741</v>
      </c>
      <c r="AD394" s="870"/>
      <c r="AE394" s="871" t="s">
        <v>741</v>
      </c>
      <c r="AF394" s="870"/>
      <c r="AG394" s="902" t="s">
        <v>741</v>
      </c>
      <c r="AI394" s="1003"/>
    </row>
    <row r="395" spans="1:35" ht="21.9" customHeight="1" x14ac:dyDescent="0.35">
      <c r="A395" s="841"/>
      <c r="F395" s="951"/>
      <c r="G395" s="951"/>
      <c r="L395" s="903" t="s">
        <v>260</v>
      </c>
      <c r="M395" s="904"/>
      <c r="N395" s="904"/>
      <c r="O395" s="904"/>
      <c r="P395" s="904"/>
      <c r="Q395" s="904"/>
      <c r="R395" s="904"/>
      <c r="S395" s="904"/>
      <c r="T395" s="905"/>
      <c r="U395" s="906"/>
      <c r="V395" s="907">
        <f>SUM(V384:V394)</f>
        <v>143688.88888888888</v>
      </c>
      <c r="W395" s="908" t="s">
        <v>260</v>
      </c>
      <c r="X395" s="909"/>
      <c r="Y395" s="909"/>
      <c r="Z395" s="909"/>
      <c r="AA395" s="909"/>
      <c r="AB395" s="909"/>
      <c r="AC395" s="909"/>
      <c r="AD395" s="909"/>
      <c r="AE395" s="910"/>
      <c r="AF395" s="911"/>
      <c r="AG395" s="912">
        <f>SUM(AG384:AG394)</f>
        <v>350000</v>
      </c>
      <c r="AI395" s="1003"/>
    </row>
    <row r="396" spans="1:35" ht="21.9" customHeight="1" x14ac:dyDescent="0.35">
      <c r="A396" s="841"/>
      <c r="F396" s="951"/>
      <c r="G396" s="951"/>
      <c r="L396" s="831"/>
      <c r="M396" s="831"/>
      <c r="N396" s="831"/>
      <c r="O396" s="831"/>
      <c r="P396" s="831"/>
      <c r="Q396" s="831"/>
      <c r="R396" s="831"/>
      <c r="S396" s="831"/>
      <c r="T396" s="831"/>
      <c r="U396" s="831"/>
      <c r="V396" s="831"/>
      <c r="AI396" s="1003"/>
    </row>
    <row r="397" spans="1:35" ht="21.9" customHeight="1" x14ac:dyDescent="0.35">
      <c r="A397" s="841"/>
      <c r="F397" s="951"/>
      <c r="G397" s="951"/>
      <c r="L397" s="930" t="s">
        <v>587</v>
      </c>
      <c r="M397" s="930"/>
      <c r="N397" s="930"/>
      <c r="O397" s="930"/>
      <c r="P397" s="930"/>
      <c r="Q397" s="930"/>
      <c r="R397" s="930"/>
      <c r="S397" s="930"/>
      <c r="T397" s="930"/>
      <c r="U397" s="930"/>
      <c r="V397" s="930"/>
      <c r="W397" s="828" t="s">
        <v>588</v>
      </c>
      <c r="X397" s="828"/>
      <c r="Y397" s="828"/>
      <c r="Z397" s="828"/>
      <c r="AA397" s="828"/>
      <c r="AB397" s="828"/>
      <c r="AC397" s="828"/>
      <c r="AD397" s="828"/>
      <c r="AE397" s="828"/>
      <c r="AF397" s="828"/>
      <c r="AG397" s="828"/>
      <c r="AI397" s="1003"/>
    </row>
    <row r="398" spans="1:35" ht="21.9" customHeight="1" x14ac:dyDescent="0.35">
      <c r="A398" s="841"/>
      <c r="F398" s="951"/>
      <c r="G398" s="951"/>
      <c r="L398" s="831"/>
      <c r="M398" s="831"/>
      <c r="N398" s="831"/>
      <c r="O398" s="831"/>
      <c r="P398" s="831"/>
      <c r="Q398" s="831"/>
      <c r="R398" s="831"/>
      <c r="S398" s="831"/>
      <c r="T398" s="831"/>
      <c r="U398" s="831"/>
      <c r="V398" s="831"/>
      <c r="AI398" s="1003"/>
    </row>
    <row r="399" spans="1:35" ht="21.9" customHeight="1" x14ac:dyDescent="0.35">
      <c r="A399" s="841"/>
      <c r="F399" s="951"/>
      <c r="G399" s="951"/>
      <c r="L399" s="831"/>
      <c r="M399" s="837" t="s">
        <v>589</v>
      </c>
      <c r="N399" s="837"/>
      <c r="O399" s="837"/>
      <c r="P399" s="837">
        <v>500</v>
      </c>
      <c r="Q399" s="837" t="s">
        <v>660</v>
      </c>
      <c r="R399" s="831"/>
      <c r="S399" s="838" t="s">
        <v>518</v>
      </c>
      <c r="T399" s="837">
        <f>E32</f>
        <v>36</v>
      </c>
      <c r="U399" s="839" t="s">
        <v>519</v>
      </c>
      <c r="V399" s="831"/>
      <c r="X399" s="840" t="s">
        <v>590</v>
      </c>
      <c r="Y399" s="840"/>
      <c r="Z399" s="840"/>
      <c r="AA399" s="840">
        <v>500</v>
      </c>
      <c r="AB399" s="840" t="s">
        <v>660</v>
      </c>
      <c r="AD399" s="838" t="s">
        <v>518</v>
      </c>
      <c r="AE399" s="837">
        <f>E32</f>
        <v>36</v>
      </c>
      <c r="AF399" s="839" t="s">
        <v>519</v>
      </c>
      <c r="AI399" s="1003"/>
    </row>
    <row r="400" spans="1:35" ht="21.9" customHeight="1" x14ac:dyDescent="0.35">
      <c r="A400" s="841"/>
      <c r="F400" s="951"/>
      <c r="G400" s="951"/>
      <c r="L400" s="847" t="s">
        <v>522</v>
      </c>
      <c r="M400" s="848" t="s">
        <v>523</v>
      </c>
      <c r="N400" s="849"/>
      <c r="O400" s="849"/>
      <c r="P400" s="850"/>
      <c r="Q400" s="847" t="s">
        <v>524</v>
      </c>
      <c r="R400" s="847" t="s">
        <v>525</v>
      </c>
      <c r="S400" s="851" t="s">
        <v>526</v>
      </c>
      <c r="T400" s="852"/>
      <c r="U400" s="851" t="s">
        <v>527</v>
      </c>
      <c r="V400" s="852"/>
      <c r="W400" s="847" t="s">
        <v>522</v>
      </c>
      <c r="X400" s="848" t="s">
        <v>523</v>
      </c>
      <c r="Y400" s="849"/>
      <c r="Z400" s="849"/>
      <c r="AA400" s="850"/>
      <c r="AB400" s="847" t="s">
        <v>524</v>
      </c>
      <c r="AC400" s="847" t="s">
        <v>525</v>
      </c>
      <c r="AD400" s="851" t="s">
        <v>528</v>
      </c>
      <c r="AE400" s="852"/>
      <c r="AF400" s="851" t="s">
        <v>529</v>
      </c>
      <c r="AG400" s="852"/>
      <c r="AI400" s="1003"/>
    </row>
    <row r="401" spans="1:35" ht="21.9" customHeight="1" x14ac:dyDescent="0.35">
      <c r="A401" s="841"/>
      <c r="F401" s="951"/>
      <c r="G401" s="951"/>
      <c r="L401" s="854"/>
      <c r="M401" s="855"/>
      <c r="N401" s="856"/>
      <c r="O401" s="856"/>
      <c r="P401" s="857"/>
      <c r="Q401" s="854"/>
      <c r="R401" s="854"/>
      <c r="S401" s="858" t="s">
        <v>533</v>
      </c>
      <c r="T401" s="859"/>
      <c r="U401" s="858" t="s">
        <v>732</v>
      </c>
      <c r="V401" s="859"/>
      <c r="W401" s="854"/>
      <c r="X401" s="855"/>
      <c r="Y401" s="856"/>
      <c r="Z401" s="856"/>
      <c r="AA401" s="857"/>
      <c r="AB401" s="854"/>
      <c r="AC401" s="854"/>
      <c r="AD401" s="858" t="s">
        <v>733</v>
      </c>
      <c r="AE401" s="859"/>
      <c r="AF401" s="858" t="s">
        <v>732</v>
      </c>
      <c r="AG401" s="859"/>
      <c r="AI401" s="1003"/>
    </row>
    <row r="402" spans="1:35" ht="21.9" customHeight="1" x14ac:dyDescent="0.35">
      <c r="A402" s="841"/>
      <c r="F402" s="951"/>
      <c r="G402" s="951"/>
      <c r="L402" s="860">
        <v>1</v>
      </c>
      <c r="M402" s="861" t="s">
        <v>739</v>
      </c>
      <c r="N402" s="862"/>
      <c r="O402" s="862"/>
      <c r="P402" s="863"/>
      <c r="Q402" s="864"/>
      <c r="R402" s="864"/>
      <c r="S402" s="865"/>
      <c r="T402" s="863"/>
      <c r="U402" s="865"/>
      <c r="V402" s="863"/>
      <c r="W402" s="866">
        <v>1</v>
      </c>
      <c r="X402" s="867" t="s">
        <v>740</v>
      </c>
      <c r="Y402" s="845"/>
      <c r="Z402" s="845"/>
      <c r="AA402" s="868"/>
      <c r="AB402" s="869"/>
      <c r="AC402" s="869"/>
      <c r="AD402" s="870"/>
      <c r="AE402" s="871"/>
      <c r="AF402" s="870"/>
      <c r="AG402" s="872" t="s">
        <v>741</v>
      </c>
      <c r="AI402" s="1003"/>
    </row>
    <row r="403" spans="1:35" ht="21.9" customHeight="1" x14ac:dyDescent="0.35">
      <c r="A403" s="841"/>
      <c r="F403" s="951"/>
      <c r="G403" s="951"/>
      <c r="L403" s="877">
        <v>1.1000000000000001</v>
      </c>
      <c r="M403" s="878" t="s">
        <v>1437</v>
      </c>
      <c r="N403" s="879"/>
      <c r="O403" s="879"/>
      <c r="P403" s="880"/>
      <c r="Q403" s="877" t="s">
        <v>747</v>
      </c>
      <c r="R403" s="877">
        <v>1</v>
      </c>
      <c r="S403" s="878"/>
      <c r="T403" s="881">
        <v>2.3599999999999999E-2</v>
      </c>
      <c r="U403" s="878"/>
      <c r="V403" s="882">
        <f t="shared" ref="V403:V413" si="58">((($P$399*1000000)*T403)/100)/$T$399</f>
        <v>3277.7777777777778</v>
      </c>
      <c r="W403" s="869">
        <v>1.1000000000000001</v>
      </c>
      <c r="X403" s="870" t="s">
        <v>748</v>
      </c>
      <c r="Y403" s="883"/>
      <c r="Z403" s="883"/>
      <c r="AA403" s="884"/>
      <c r="AB403" s="869" t="s">
        <v>749</v>
      </c>
      <c r="AC403" s="869">
        <v>1</v>
      </c>
      <c r="AD403" s="870"/>
      <c r="AE403" s="957">
        <v>60000</v>
      </c>
      <c r="AF403" s="870"/>
      <c r="AG403" s="902">
        <f t="shared" ref="AG403:AG411" si="59">(AC403*AE403)</f>
        <v>60000</v>
      </c>
      <c r="AI403" s="1003"/>
    </row>
    <row r="404" spans="1:35" ht="21.9" customHeight="1" x14ac:dyDescent="0.35">
      <c r="A404" s="841"/>
      <c r="F404" s="951"/>
      <c r="G404" s="951"/>
      <c r="L404" s="877">
        <v>1.2</v>
      </c>
      <c r="M404" s="878" t="s">
        <v>752</v>
      </c>
      <c r="N404" s="879"/>
      <c r="O404" s="879"/>
      <c r="P404" s="880"/>
      <c r="Q404" s="877" t="s">
        <v>747</v>
      </c>
      <c r="R404" s="877">
        <v>1</v>
      </c>
      <c r="S404" s="878"/>
      <c r="T404" s="881">
        <v>0.35899999999999999</v>
      </c>
      <c r="U404" s="878"/>
      <c r="V404" s="882">
        <f t="shared" si="58"/>
        <v>49861.111111111109</v>
      </c>
      <c r="W404" s="869">
        <v>1.2</v>
      </c>
      <c r="X404" s="870" t="s">
        <v>753</v>
      </c>
      <c r="Y404" s="883"/>
      <c r="Z404" s="883"/>
      <c r="AA404" s="884"/>
      <c r="AB404" s="869" t="s">
        <v>749</v>
      </c>
      <c r="AC404" s="869">
        <v>1</v>
      </c>
      <c r="AD404" s="870"/>
      <c r="AE404" s="902">
        <v>40000</v>
      </c>
      <c r="AF404" s="870"/>
      <c r="AG404" s="902">
        <f t="shared" si="59"/>
        <v>40000</v>
      </c>
      <c r="AI404" s="1003"/>
    </row>
    <row r="405" spans="1:35" ht="21.9" customHeight="1" x14ac:dyDescent="0.35">
      <c r="A405" s="841"/>
      <c r="F405" s="951"/>
      <c r="G405" s="951"/>
      <c r="L405" s="877">
        <v>1.3</v>
      </c>
      <c r="M405" s="878" t="s">
        <v>754</v>
      </c>
      <c r="N405" s="879"/>
      <c r="O405" s="879"/>
      <c r="P405" s="880"/>
      <c r="Q405" s="877" t="s">
        <v>747</v>
      </c>
      <c r="R405" s="898">
        <v>1</v>
      </c>
      <c r="S405" s="878"/>
      <c r="T405" s="881">
        <v>0.01</v>
      </c>
      <c r="U405" s="878"/>
      <c r="V405" s="882">
        <f t="shared" si="58"/>
        <v>1388.8888888888889</v>
      </c>
      <c r="W405" s="869">
        <v>1.3</v>
      </c>
      <c r="X405" s="870" t="s">
        <v>755</v>
      </c>
      <c r="Y405" s="883"/>
      <c r="Z405" s="883"/>
      <c r="AA405" s="884"/>
      <c r="AB405" s="869" t="s">
        <v>749</v>
      </c>
      <c r="AC405" s="869">
        <v>3</v>
      </c>
      <c r="AD405" s="870"/>
      <c r="AE405" s="902">
        <v>30000</v>
      </c>
      <c r="AF405" s="870"/>
      <c r="AG405" s="902">
        <f t="shared" si="59"/>
        <v>90000</v>
      </c>
      <c r="AI405" s="1003"/>
    </row>
    <row r="406" spans="1:35" ht="21.9" customHeight="1" x14ac:dyDescent="0.35">
      <c r="A406" s="841"/>
      <c r="F406" s="951"/>
      <c r="G406" s="951"/>
      <c r="L406" s="877">
        <v>1.4</v>
      </c>
      <c r="M406" s="878" t="s">
        <v>453</v>
      </c>
      <c r="N406" s="879"/>
      <c r="O406" s="879"/>
      <c r="P406" s="880"/>
      <c r="Q406" s="877" t="s">
        <v>747</v>
      </c>
      <c r="R406" s="877">
        <v>1</v>
      </c>
      <c r="S406" s="878"/>
      <c r="T406" s="881">
        <v>7.2599999999999998E-2</v>
      </c>
      <c r="U406" s="878"/>
      <c r="V406" s="882">
        <f t="shared" si="58"/>
        <v>10083.333333333334</v>
      </c>
      <c r="W406" s="869">
        <v>1.4</v>
      </c>
      <c r="X406" s="870" t="s">
        <v>454</v>
      </c>
      <c r="Y406" s="883"/>
      <c r="Z406" s="883"/>
      <c r="AA406" s="884"/>
      <c r="AB406" s="869" t="s">
        <v>749</v>
      </c>
      <c r="AC406" s="869">
        <v>1</v>
      </c>
      <c r="AD406" s="870"/>
      <c r="AE406" s="902">
        <v>40000</v>
      </c>
      <c r="AF406" s="870"/>
      <c r="AG406" s="902">
        <f t="shared" si="59"/>
        <v>40000</v>
      </c>
      <c r="AI406" s="1003"/>
    </row>
    <row r="407" spans="1:35" ht="21.9" customHeight="1" x14ac:dyDescent="0.35">
      <c r="A407" s="841"/>
      <c r="F407" s="951"/>
      <c r="G407" s="951"/>
      <c r="L407" s="900">
        <v>2</v>
      </c>
      <c r="M407" s="901" t="s">
        <v>455</v>
      </c>
      <c r="N407" s="879"/>
      <c r="O407" s="879"/>
      <c r="P407" s="880"/>
      <c r="Q407" s="877"/>
      <c r="R407" s="877"/>
      <c r="S407" s="878"/>
      <c r="T407" s="882">
        <v>0</v>
      </c>
      <c r="U407" s="878"/>
      <c r="V407" s="882">
        <f t="shared" si="58"/>
        <v>0</v>
      </c>
      <c r="W407" s="869">
        <v>1.5</v>
      </c>
      <c r="X407" s="870" t="s">
        <v>456</v>
      </c>
      <c r="Y407" s="883"/>
      <c r="Z407" s="883"/>
      <c r="AA407" s="884"/>
      <c r="AB407" s="869" t="s">
        <v>749</v>
      </c>
      <c r="AC407" s="869">
        <v>3</v>
      </c>
      <c r="AD407" s="870"/>
      <c r="AE407" s="902">
        <v>12000</v>
      </c>
      <c r="AF407" s="870"/>
      <c r="AG407" s="902">
        <f t="shared" si="59"/>
        <v>36000</v>
      </c>
      <c r="AI407" s="1003"/>
    </row>
    <row r="408" spans="1:35" ht="21.9" customHeight="1" x14ac:dyDescent="0.35">
      <c r="A408" s="841"/>
      <c r="F408" s="951"/>
      <c r="G408" s="951"/>
      <c r="L408" s="877">
        <v>2.1</v>
      </c>
      <c r="M408" s="878" t="s">
        <v>457</v>
      </c>
      <c r="N408" s="879"/>
      <c r="O408" s="879"/>
      <c r="P408" s="880"/>
      <c r="Q408" s="877" t="s">
        <v>747</v>
      </c>
      <c r="R408" s="877">
        <v>1</v>
      </c>
      <c r="S408" s="878"/>
      <c r="T408" s="881">
        <v>0.12939999999999999</v>
      </c>
      <c r="U408" s="878"/>
      <c r="V408" s="882">
        <f t="shared" si="58"/>
        <v>17972.222222222219</v>
      </c>
      <c r="W408" s="869">
        <v>1.6</v>
      </c>
      <c r="X408" s="870" t="s">
        <v>458</v>
      </c>
      <c r="Y408" s="883"/>
      <c r="Z408" s="883"/>
      <c r="AA408" s="884"/>
      <c r="AB408" s="869" t="s">
        <v>749</v>
      </c>
      <c r="AC408" s="869">
        <v>3</v>
      </c>
      <c r="AD408" s="870"/>
      <c r="AE408" s="902">
        <v>8000</v>
      </c>
      <c r="AF408" s="870"/>
      <c r="AG408" s="902">
        <f t="shared" si="59"/>
        <v>24000</v>
      </c>
      <c r="AI408" s="1003"/>
    </row>
    <row r="409" spans="1:35" ht="21.9" customHeight="1" x14ac:dyDescent="0.35">
      <c r="A409" s="841"/>
      <c r="F409" s="951"/>
      <c r="G409" s="951"/>
      <c r="L409" s="877">
        <v>2.2000000000000002</v>
      </c>
      <c r="M409" s="878" t="s">
        <v>459</v>
      </c>
      <c r="N409" s="879"/>
      <c r="O409" s="879"/>
      <c r="P409" s="880"/>
      <c r="Q409" s="877" t="s">
        <v>747</v>
      </c>
      <c r="R409" s="877">
        <v>1</v>
      </c>
      <c r="S409" s="878"/>
      <c r="T409" s="881">
        <v>0.65559999999999996</v>
      </c>
      <c r="U409" s="878"/>
      <c r="V409" s="882">
        <f t="shared" si="58"/>
        <v>91055.555555555562</v>
      </c>
      <c r="W409" s="869">
        <v>1.7</v>
      </c>
      <c r="X409" s="870" t="s">
        <v>460</v>
      </c>
      <c r="Y409" s="883"/>
      <c r="Z409" s="883"/>
      <c r="AA409" s="884"/>
      <c r="AB409" s="869" t="s">
        <v>749</v>
      </c>
      <c r="AC409" s="869">
        <v>3</v>
      </c>
      <c r="AD409" s="870"/>
      <c r="AE409" s="902">
        <v>12000</v>
      </c>
      <c r="AF409" s="870"/>
      <c r="AG409" s="902">
        <f t="shared" si="59"/>
        <v>36000</v>
      </c>
      <c r="AI409" s="1003"/>
    </row>
    <row r="410" spans="1:35" ht="21.9" customHeight="1" x14ac:dyDescent="0.35">
      <c r="A410" s="841"/>
      <c r="F410" s="951"/>
      <c r="G410" s="951"/>
      <c r="L410" s="877">
        <v>2.2999999999999998</v>
      </c>
      <c r="M410" s="878" t="s">
        <v>461</v>
      </c>
      <c r="N410" s="879"/>
      <c r="O410" s="879"/>
      <c r="P410" s="880"/>
      <c r="Q410" s="877" t="s">
        <v>747</v>
      </c>
      <c r="R410" s="877">
        <v>1</v>
      </c>
      <c r="S410" s="878"/>
      <c r="T410" s="881">
        <v>2.4299999999999999E-2</v>
      </c>
      <c r="U410" s="878"/>
      <c r="V410" s="882">
        <f t="shared" si="58"/>
        <v>3375</v>
      </c>
      <c r="W410" s="869">
        <v>1.8</v>
      </c>
      <c r="X410" s="870" t="s">
        <v>462</v>
      </c>
      <c r="Y410" s="845"/>
      <c r="Z410" s="845"/>
      <c r="AA410" s="868"/>
      <c r="AB410" s="869" t="s">
        <v>749</v>
      </c>
      <c r="AC410" s="869">
        <v>3</v>
      </c>
      <c r="AD410" s="870"/>
      <c r="AE410" s="902">
        <v>8000</v>
      </c>
      <c r="AF410" s="870"/>
      <c r="AG410" s="902">
        <f t="shared" si="59"/>
        <v>24000</v>
      </c>
      <c r="AI410" s="1003"/>
    </row>
    <row r="411" spans="1:35" ht="21.9" customHeight="1" x14ac:dyDescent="0.35">
      <c r="A411" s="841"/>
      <c r="F411" s="951"/>
      <c r="G411" s="951"/>
      <c r="L411" s="877">
        <v>2.4</v>
      </c>
      <c r="M411" s="878" t="s">
        <v>463</v>
      </c>
      <c r="N411" s="879"/>
      <c r="O411" s="879"/>
      <c r="P411" s="880"/>
      <c r="Q411" s="877" t="s">
        <v>747</v>
      </c>
      <c r="R411" s="877">
        <v>1</v>
      </c>
      <c r="S411" s="878"/>
      <c r="T411" s="881">
        <v>1.8700000000000001E-2</v>
      </c>
      <c r="U411" s="878"/>
      <c r="V411" s="882">
        <f t="shared" si="58"/>
        <v>2597.2222222222222</v>
      </c>
      <c r="W411" s="869">
        <v>1.9</v>
      </c>
      <c r="X411" s="870" t="s">
        <v>464</v>
      </c>
      <c r="Y411" s="883"/>
      <c r="Z411" s="883"/>
      <c r="AA411" s="884"/>
      <c r="AB411" s="869" t="s">
        <v>749</v>
      </c>
      <c r="AC411" s="869">
        <v>0</v>
      </c>
      <c r="AD411" s="870"/>
      <c r="AE411" s="902">
        <v>0</v>
      </c>
      <c r="AF411" s="870"/>
      <c r="AG411" s="902">
        <f t="shared" si="59"/>
        <v>0</v>
      </c>
      <c r="AI411" s="1003"/>
    </row>
    <row r="412" spans="1:35" ht="21.9" customHeight="1" x14ac:dyDescent="0.35">
      <c r="A412" s="841"/>
      <c r="F412" s="951"/>
      <c r="G412" s="951"/>
      <c r="L412" s="877" t="s">
        <v>741</v>
      </c>
      <c r="M412" s="878" t="s">
        <v>741</v>
      </c>
      <c r="N412" s="879"/>
      <c r="O412" s="879"/>
      <c r="P412" s="880"/>
      <c r="Q412" s="877" t="s">
        <v>741</v>
      </c>
      <c r="R412" s="877" t="s">
        <v>741</v>
      </c>
      <c r="S412" s="878"/>
      <c r="T412" s="882">
        <v>0</v>
      </c>
      <c r="U412" s="878" t="s">
        <v>741</v>
      </c>
      <c r="V412" s="882">
        <f t="shared" si="58"/>
        <v>0</v>
      </c>
      <c r="W412" s="869" t="s">
        <v>741</v>
      </c>
      <c r="X412" s="870" t="s">
        <v>741</v>
      </c>
      <c r="Y412" s="883"/>
      <c r="Z412" s="883"/>
      <c r="AA412" s="884"/>
      <c r="AB412" s="869" t="s">
        <v>741</v>
      </c>
      <c r="AC412" s="869" t="s">
        <v>741</v>
      </c>
      <c r="AD412" s="870"/>
      <c r="AE412" s="871" t="s">
        <v>741</v>
      </c>
      <c r="AF412" s="870"/>
      <c r="AG412" s="902" t="s">
        <v>741</v>
      </c>
      <c r="AI412" s="1003"/>
    </row>
    <row r="413" spans="1:35" ht="21.9" customHeight="1" x14ac:dyDescent="0.35">
      <c r="A413" s="841"/>
      <c r="F413" s="951"/>
      <c r="G413" s="951"/>
      <c r="L413" s="877" t="s">
        <v>741</v>
      </c>
      <c r="M413" s="878" t="s">
        <v>741</v>
      </c>
      <c r="N413" s="879"/>
      <c r="O413" s="879"/>
      <c r="P413" s="880"/>
      <c r="Q413" s="877" t="s">
        <v>741</v>
      </c>
      <c r="R413" s="877" t="s">
        <v>741</v>
      </c>
      <c r="S413" s="878"/>
      <c r="T413" s="882">
        <v>0</v>
      </c>
      <c r="U413" s="878" t="s">
        <v>741</v>
      </c>
      <c r="V413" s="882">
        <f t="shared" si="58"/>
        <v>0</v>
      </c>
      <c r="W413" s="869" t="s">
        <v>741</v>
      </c>
      <c r="X413" s="870" t="s">
        <v>741</v>
      </c>
      <c r="Y413" s="883"/>
      <c r="Z413" s="883"/>
      <c r="AA413" s="884"/>
      <c r="AB413" s="869" t="s">
        <v>741</v>
      </c>
      <c r="AC413" s="869" t="s">
        <v>741</v>
      </c>
      <c r="AD413" s="870"/>
      <c r="AE413" s="871" t="s">
        <v>741</v>
      </c>
      <c r="AF413" s="870"/>
      <c r="AG413" s="902" t="s">
        <v>741</v>
      </c>
      <c r="AI413" s="1003"/>
    </row>
    <row r="414" spans="1:35" ht="21.9" customHeight="1" x14ac:dyDescent="0.35">
      <c r="A414" s="841"/>
      <c r="F414" s="951"/>
      <c r="G414" s="951"/>
      <c r="L414" s="903" t="s">
        <v>260</v>
      </c>
      <c r="M414" s="904"/>
      <c r="N414" s="904"/>
      <c r="O414" s="904"/>
      <c r="P414" s="904"/>
      <c r="Q414" s="904"/>
      <c r="R414" s="904"/>
      <c r="S414" s="904"/>
      <c r="T414" s="905"/>
      <c r="U414" s="906"/>
      <c r="V414" s="907">
        <f>SUM(V402:V413)</f>
        <v>179611.11111111112</v>
      </c>
      <c r="W414" s="908" t="s">
        <v>260</v>
      </c>
      <c r="X414" s="909"/>
      <c r="Y414" s="909"/>
      <c r="Z414" s="909"/>
      <c r="AA414" s="909"/>
      <c r="AB414" s="909"/>
      <c r="AC414" s="909"/>
      <c r="AD414" s="909"/>
      <c r="AE414" s="910"/>
      <c r="AF414" s="911"/>
      <c r="AG414" s="912">
        <f>SUM(AG403:AG413)</f>
        <v>350000</v>
      </c>
      <c r="AI414" s="1003"/>
    </row>
    <row r="415" spans="1:35" ht="21.9" customHeight="1" x14ac:dyDescent="0.35">
      <c r="A415" s="841"/>
      <c r="F415" s="951"/>
      <c r="G415" s="951"/>
      <c r="L415" s="831"/>
      <c r="M415" s="831"/>
      <c r="N415" s="831"/>
      <c r="O415" s="831"/>
      <c r="P415" s="831"/>
      <c r="Q415" s="831"/>
      <c r="R415" s="831"/>
      <c r="S415" s="831"/>
      <c r="T415" s="831"/>
      <c r="U415" s="831"/>
      <c r="V415" s="831"/>
      <c r="W415" s="984" t="s">
        <v>741</v>
      </c>
      <c r="X415" s="862" t="s">
        <v>741</v>
      </c>
      <c r="Y415" s="862"/>
      <c r="Z415" s="862"/>
      <c r="AA415" s="862"/>
      <c r="AB415" s="984" t="s">
        <v>741</v>
      </c>
      <c r="AC415" s="984" t="s">
        <v>741</v>
      </c>
      <c r="AD415" s="862"/>
      <c r="AE415" s="985" t="s">
        <v>741</v>
      </c>
      <c r="AF415" s="862"/>
      <c r="AG415" s="985" t="s">
        <v>741</v>
      </c>
      <c r="AI415" s="1003"/>
    </row>
    <row r="416" spans="1:35" ht="21.9" customHeight="1" x14ac:dyDescent="0.35">
      <c r="A416" s="841"/>
      <c r="F416" s="951"/>
      <c r="G416" s="951"/>
      <c r="L416" s="831"/>
      <c r="M416" s="837" t="s">
        <v>591</v>
      </c>
      <c r="N416" s="837"/>
      <c r="O416" s="837"/>
      <c r="P416" s="837">
        <v>1000</v>
      </c>
      <c r="Q416" s="837" t="s">
        <v>660</v>
      </c>
      <c r="R416" s="831"/>
      <c r="S416" s="838" t="s">
        <v>518</v>
      </c>
      <c r="T416" s="837">
        <f>E33</f>
        <v>40</v>
      </c>
      <c r="U416" s="839" t="s">
        <v>519</v>
      </c>
      <c r="V416" s="831"/>
      <c r="W416" s="883"/>
      <c r="X416" s="837" t="s">
        <v>592</v>
      </c>
      <c r="Y416" s="837"/>
      <c r="Z416" s="837"/>
      <c r="AA416" s="837">
        <v>500</v>
      </c>
      <c r="AB416" s="837" t="s">
        <v>660</v>
      </c>
      <c r="AC416" s="831"/>
      <c r="AD416" s="838" t="s">
        <v>518</v>
      </c>
      <c r="AE416" s="837">
        <f>E33</f>
        <v>40</v>
      </c>
      <c r="AF416" s="839" t="s">
        <v>519</v>
      </c>
      <c r="AG416" s="831"/>
      <c r="AI416" s="1003"/>
    </row>
    <row r="417" spans="1:35" ht="21.9" customHeight="1" x14ac:dyDescent="0.35">
      <c r="A417" s="841"/>
      <c r="F417" s="951"/>
      <c r="G417" s="951"/>
      <c r="L417" s="847" t="s">
        <v>522</v>
      </c>
      <c r="M417" s="848" t="s">
        <v>523</v>
      </c>
      <c r="N417" s="849"/>
      <c r="O417" s="849"/>
      <c r="P417" s="850"/>
      <c r="Q417" s="847" t="s">
        <v>524</v>
      </c>
      <c r="R417" s="847" t="s">
        <v>525</v>
      </c>
      <c r="S417" s="851" t="s">
        <v>526</v>
      </c>
      <c r="T417" s="852"/>
      <c r="U417" s="851" t="s">
        <v>527</v>
      </c>
      <c r="V417" s="852"/>
      <c r="W417" s="847" t="s">
        <v>522</v>
      </c>
      <c r="X417" s="848" t="s">
        <v>523</v>
      </c>
      <c r="Y417" s="849"/>
      <c r="Z417" s="849"/>
      <c r="AA417" s="850"/>
      <c r="AB417" s="847" t="s">
        <v>524</v>
      </c>
      <c r="AC417" s="847" t="s">
        <v>525</v>
      </c>
      <c r="AD417" s="851" t="s">
        <v>528</v>
      </c>
      <c r="AE417" s="852"/>
      <c r="AF417" s="851" t="s">
        <v>529</v>
      </c>
      <c r="AG417" s="852"/>
      <c r="AI417" s="1003"/>
    </row>
    <row r="418" spans="1:35" ht="21.9" customHeight="1" x14ac:dyDescent="0.35">
      <c r="A418" s="841"/>
      <c r="F418" s="951"/>
      <c r="G418" s="951"/>
      <c r="L418" s="854"/>
      <c r="M418" s="855"/>
      <c r="N418" s="856"/>
      <c r="O418" s="856"/>
      <c r="P418" s="857"/>
      <c r="Q418" s="854"/>
      <c r="R418" s="854"/>
      <c r="S418" s="858" t="s">
        <v>533</v>
      </c>
      <c r="T418" s="859"/>
      <c r="U418" s="858" t="s">
        <v>732</v>
      </c>
      <c r="V418" s="859"/>
      <c r="W418" s="854"/>
      <c r="X418" s="855"/>
      <c r="Y418" s="856"/>
      <c r="Z418" s="856"/>
      <c r="AA418" s="857"/>
      <c r="AB418" s="854"/>
      <c r="AC418" s="854"/>
      <c r="AD418" s="858" t="s">
        <v>733</v>
      </c>
      <c r="AE418" s="859"/>
      <c r="AF418" s="858" t="s">
        <v>732</v>
      </c>
      <c r="AG418" s="859"/>
      <c r="AI418" s="1003"/>
    </row>
    <row r="419" spans="1:35" ht="21.9" customHeight="1" x14ac:dyDescent="0.35">
      <c r="A419" s="841"/>
      <c r="F419" s="951"/>
      <c r="G419" s="951"/>
      <c r="L419" s="860">
        <v>1</v>
      </c>
      <c r="M419" s="861" t="s">
        <v>739</v>
      </c>
      <c r="N419" s="862"/>
      <c r="O419" s="862"/>
      <c r="P419" s="863"/>
      <c r="Q419" s="864"/>
      <c r="R419" s="864"/>
      <c r="S419" s="865"/>
      <c r="T419" s="863"/>
      <c r="U419" s="865"/>
      <c r="V419" s="863"/>
      <c r="W419" s="866">
        <v>1</v>
      </c>
      <c r="X419" s="867" t="s">
        <v>740</v>
      </c>
      <c r="Y419" s="845"/>
      <c r="Z419" s="845"/>
      <c r="AA419" s="868"/>
      <c r="AB419" s="869"/>
      <c r="AC419" s="869"/>
      <c r="AD419" s="870"/>
      <c r="AE419" s="871"/>
      <c r="AF419" s="870"/>
      <c r="AG419" s="872" t="s">
        <v>741</v>
      </c>
      <c r="AI419" s="1003"/>
    </row>
    <row r="420" spans="1:35" ht="21.9" customHeight="1" x14ac:dyDescent="0.35">
      <c r="A420" s="841"/>
      <c r="F420" s="951"/>
      <c r="G420" s="951"/>
      <c r="L420" s="877">
        <v>1.1000000000000001</v>
      </c>
      <c r="M420" s="878" t="s">
        <v>1437</v>
      </c>
      <c r="N420" s="879"/>
      <c r="O420" s="879"/>
      <c r="P420" s="880"/>
      <c r="Q420" s="877" t="s">
        <v>747</v>
      </c>
      <c r="R420" s="877">
        <v>1</v>
      </c>
      <c r="S420" s="878"/>
      <c r="T420" s="881">
        <v>2.3599999999999999E-2</v>
      </c>
      <c r="U420" s="878"/>
      <c r="V420" s="882">
        <f t="shared" ref="V420:V430" si="60">((($P$416*1000000)*T420)/100)/$T$416</f>
        <v>5900</v>
      </c>
      <c r="W420" s="869">
        <v>1.1000000000000001</v>
      </c>
      <c r="X420" s="870" t="s">
        <v>748</v>
      </c>
      <c r="Y420" s="883"/>
      <c r="Z420" s="883"/>
      <c r="AA420" s="884"/>
      <c r="AB420" s="869" t="s">
        <v>749</v>
      </c>
      <c r="AC420" s="869">
        <v>1</v>
      </c>
      <c r="AD420" s="870"/>
      <c r="AE420" s="957">
        <v>70000</v>
      </c>
      <c r="AF420" s="870"/>
      <c r="AG420" s="902">
        <f t="shared" ref="AG420:AG428" si="61">(AC420*AE420)</f>
        <v>70000</v>
      </c>
      <c r="AI420" s="1003"/>
    </row>
    <row r="421" spans="1:35" ht="21.9" customHeight="1" x14ac:dyDescent="0.35">
      <c r="A421" s="841"/>
      <c r="F421" s="951"/>
      <c r="G421" s="951"/>
      <c r="L421" s="877">
        <v>1.2</v>
      </c>
      <c r="M421" s="878" t="s">
        <v>752</v>
      </c>
      <c r="N421" s="879"/>
      <c r="O421" s="879"/>
      <c r="P421" s="880"/>
      <c r="Q421" s="877" t="s">
        <v>747</v>
      </c>
      <c r="R421" s="877">
        <v>1</v>
      </c>
      <c r="S421" s="878"/>
      <c r="T421" s="881">
        <v>0.35899999999999999</v>
      </c>
      <c r="U421" s="878"/>
      <c r="V421" s="882">
        <f t="shared" si="60"/>
        <v>89750</v>
      </c>
      <c r="W421" s="869">
        <v>1.2</v>
      </c>
      <c r="X421" s="870" t="s">
        <v>753</v>
      </c>
      <c r="Y421" s="883"/>
      <c r="Z421" s="883"/>
      <c r="AA421" s="884"/>
      <c r="AB421" s="869" t="s">
        <v>749</v>
      </c>
      <c r="AC421" s="869">
        <v>1</v>
      </c>
      <c r="AD421" s="870"/>
      <c r="AE421" s="902">
        <v>50000</v>
      </c>
      <c r="AF421" s="870"/>
      <c r="AG421" s="902">
        <f t="shared" si="61"/>
        <v>50000</v>
      </c>
      <c r="AI421" s="1003"/>
    </row>
    <row r="422" spans="1:35" ht="21.9" customHeight="1" x14ac:dyDescent="0.35">
      <c r="A422" s="841"/>
      <c r="F422" s="951"/>
      <c r="G422" s="951"/>
      <c r="L422" s="877">
        <v>1.3</v>
      </c>
      <c r="M422" s="878" t="s">
        <v>754</v>
      </c>
      <c r="N422" s="879"/>
      <c r="O422" s="879"/>
      <c r="P422" s="880"/>
      <c r="Q422" s="877" t="s">
        <v>747</v>
      </c>
      <c r="R422" s="898">
        <v>1</v>
      </c>
      <c r="S422" s="878"/>
      <c r="T422" s="881">
        <v>0.01</v>
      </c>
      <c r="U422" s="878"/>
      <c r="V422" s="882">
        <f t="shared" si="60"/>
        <v>2500</v>
      </c>
      <c r="W422" s="869">
        <v>1.3</v>
      </c>
      <c r="X422" s="870" t="s">
        <v>755</v>
      </c>
      <c r="Y422" s="883"/>
      <c r="Z422" s="883"/>
      <c r="AA422" s="884"/>
      <c r="AB422" s="869" t="s">
        <v>749</v>
      </c>
      <c r="AC422" s="869">
        <v>4</v>
      </c>
      <c r="AD422" s="870"/>
      <c r="AE422" s="902">
        <v>30000</v>
      </c>
      <c r="AF422" s="870"/>
      <c r="AG422" s="902">
        <f t="shared" si="61"/>
        <v>120000</v>
      </c>
      <c r="AI422" s="1003"/>
    </row>
    <row r="423" spans="1:35" ht="21.9" customHeight="1" x14ac:dyDescent="0.35">
      <c r="A423" s="841"/>
      <c r="F423" s="951"/>
      <c r="G423" s="951"/>
      <c r="L423" s="877">
        <v>1.4</v>
      </c>
      <c r="M423" s="878" t="s">
        <v>453</v>
      </c>
      <c r="N423" s="879"/>
      <c r="O423" s="879"/>
      <c r="P423" s="880"/>
      <c r="Q423" s="877" t="s">
        <v>747</v>
      </c>
      <c r="R423" s="877">
        <v>1</v>
      </c>
      <c r="S423" s="878"/>
      <c r="T423" s="881">
        <v>5.8299999999999998E-2</v>
      </c>
      <c r="U423" s="878"/>
      <c r="V423" s="882">
        <f t="shared" si="60"/>
        <v>14575</v>
      </c>
      <c r="W423" s="869">
        <v>1.4</v>
      </c>
      <c r="X423" s="870" t="s">
        <v>454</v>
      </c>
      <c r="Y423" s="883"/>
      <c r="Z423" s="883"/>
      <c r="AA423" s="884"/>
      <c r="AB423" s="869" t="s">
        <v>749</v>
      </c>
      <c r="AC423" s="869">
        <v>1</v>
      </c>
      <c r="AD423" s="870"/>
      <c r="AE423" s="902">
        <v>50000</v>
      </c>
      <c r="AF423" s="870"/>
      <c r="AG423" s="902">
        <f t="shared" si="61"/>
        <v>50000</v>
      </c>
      <c r="AI423" s="1003"/>
    </row>
    <row r="424" spans="1:35" ht="21.9" customHeight="1" x14ac:dyDescent="0.35">
      <c r="A424" s="841"/>
      <c r="F424" s="951"/>
      <c r="G424" s="951"/>
      <c r="L424" s="900">
        <v>2</v>
      </c>
      <c r="M424" s="901" t="s">
        <v>455</v>
      </c>
      <c r="N424" s="879"/>
      <c r="O424" s="879"/>
      <c r="P424" s="880"/>
      <c r="Q424" s="877"/>
      <c r="R424" s="877"/>
      <c r="S424" s="878"/>
      <c r="T424" s="882">
        <v>0</v>
      </c>
      <c r="U424" s="878"/>
      <c r="V424" s="882">
        <f t="shared" si="60"/>
        <v>0</v>
      </c>
      <c r="W424" s="869">
        <v>1.5</v>
      </c>
      <c r="X424" s="870" t="s">
        <v>456</v>
      </c>
      <c r="Y424" s="883"/>
      <c r="Z424" s="883"/>
      <c r="AA424" s="884"/>
      <c r="AB424" s="869" t="s">
        <v>749</v>
      </c>
      <c r="AC424" s="869">
        <v>5</v>
      </c>
      <c r="AD424" s="870"/>
      <c r="AE424" s="902">
        <v>12000</v>
      </c>
      <c r="AF424" s="870"/>
      <c r="AG424" s="902">
        <f t="shared" si="61"/>
        <v>60000</v>
      </c>
      <c r="AI424" s="1003"/>
    </row>
    <row r="425" spans="1:35" ht="21.9" customHeight="1" x14ac:dyDescent="0.35">
      <c r="A425" s="841"/>
      <c r="F425" s="951"/>
      <c r="G425" s="951"/>
      <c r="L425" s="877">
        <v>2.1</v>
      </c>
      <c r="M425" s="878" t="s">
        <v>457</v>
      </c>
      <c r="N425" s="879"/>
      <c r="O425" s="879"/>
      <c r="P425" s="880"/>
      <c r="Q425" s="877" t="s">
        <v>747</v>
      </c>
      <c r="R425" s="877">
        <v>1</v>
      </c>
      <c r="S425" s="878"/>
      <c r="T425" s="881">
        <v>0.1087</v>
      </c>
      <c r="U425" s="878"/>
      <c r="V425" s="882">
        <f t="shared" si="60"/>
        <v>27175</v>
      </c>
      <c r="W425" s="869">
        <v>1.6</v>
      </c>
      <c r="X425" s="870" t="s">
        <v>458</v>
      </c>
      <c r="Y425" s="883"/>
      <c r="Z425" s="883"/>
      <c r="AA425" s="884"/>
      <c r="AB425" s="869" t="s">
        <v>749</v>
      </c>
      <c r="AC425" s="869">
        <v>3</v>
      </c>
      <c r="AD425" s="870"/>
      <c r="AE425" s="902">
        <v>8000</v>
      </c>
      <c r="AF425" s="870"/>
      <c r="AG425" s="902">
        <f t="shared" si="61"/>
        <v>24000</v>
      </c>
      <c r="AI425" s="1003"/>
    </row>
    <row r="426" spans="1:35" ht="21.9" customHeight="1" x14ac:dyDescent="0.35">
      <c r="A426" s="841"/>
      <c r="F426" s="951"/>
      <c r="G426" s="951"/>
      <c r="L426" s="877">
        <v>2.2000000000000002</v>
      </c>
      <c r="M426" s="878" t="s">
        <v>459</v>
      </c>
      <c r="N426" s="879"/>
      <c r="O426" s="879"/>
      <c r="P426" s="880"/>
      <c r="Q426" s="877" t="s">
        <v>747</v>
      </c>
      <c r="R426" s="877">
        <v>1</v>
      </c>
      <c r="S426" s="878"/>
      <c r="T426" s="881">
        <v>0.59419999999999995</v>
      </c>
      <c r="U426" s="878"/>
      <c r="V426" s="882">
        <f t="shared" si="60"/>
        <v>148550</v>
      </c>
      <c r="W426" s="869">
        <v>1.7</v>
      </c>
      <c r="X426" s="870" t="s">
        <v>460</v>
      </c>
      <c r="Y426" s="883"/>
      <c r="Z426" s="883"/>
      <c r="AA426" s="884"/>
      <c r="AB426" s="869" t="s">
        <v>749</v>
      </c>
      <c r="AC426" s="869">
        <v>3</v>
      </c>
      <c r="AD426" s="870"/>
      <c r="AE426" s="902">
        <v>12000</v>
      </c>
      <c r="AF426" s="870"/>
      <c r="AG426" s="902">
        <f t="shared" si="61"/>
        <v>36000</v>
      </c>
      <c r="AI426" s="1003"/>
    </row>
    <row r="427" spans="1:35" ht="21.9" customHeight="1" x14ac:dyDescent="0.35">
      <c r="A427" s="841"/>
      <c r="F427" s="951"/>
      <c r="G427" s="951"/>
      <c r="L427" s="877">
        <v>2.2999999999999998</v>
      </c>
      <c r="M427" s="878" t="s">
        <v>461</v>
      </c>
      <c r="N427" s="879"/>
      <c r="O427" s="879"/>
      <c r="P427" s="880"/>
      <c r="Q427" s="877" t="s">
        <v>747</v>
      </c>
      <c r="R427" s="877">
        <v>1</v>
      </c>
      <c r="S427" s="878"/>
      <c r="T427" s="881">
        <v>2.4299999999999999E-2</v>
      </c>
      <c r="U427" s="878"/>
      <c r="V427" s="882">
        <f t="shared" si="60"/>
        <v>6075</v>
      </c>
      <c r="W427" s="869">
        <v>1.8</v>
      </c>
      <c r="X427" s="870" t="s">
        <v>462</v>
      </c>
      <c r="Y427" s="845"/>
      <c r="Z427" s="845"/>
      <c r="AA427" s="868"/>
      <c r="AB427" s="869" t="s">
        <v>749</v>
      </c>
      <c r="AC427" s="869">
        <v>3</v>
      </c>
      <c r="AD427" s="870"/>
      <c r="AE427" s="902">
        <v>8000</v>
      </c>
      <c r="AF427" s="870"/>
      <c r="AG427" s="902">
        <f t="shared" si="61"/>
        <v>24000</v>
      </c>
      <c r="AI427" s="1003"/>
    </row>
    <row r="428" spans="1:35" ht="21.9" customHeight="1" x14ac:dyDescent="0.35">
      <c r="A428" s="841"/>
      <c r="F428" s="951"/>
      <c r="G428" s="951"/>
      <c r="L428" s="877">
        <v>2.4</v>
      </c>
      <c r="M428" s="878" t="s">
        <v>463</v>
      </c>
      <c r="N428" s="879"/>
      <c r="O428" s="879"/>
      <c r="P428" s="880"/>
      <c r="Q428" s="877" t="s">
        <v>747</v>
      </c>
      <c r="R428" s="877">
        <v>1</v>
      </c>
      <c r="S428" s="878"/>
      <c r="T428" s="881">
        <v>1.4999999999999999E-2</v>
      </c>
      <c r="U428" s="878"/>
      <c r="V428" s="882">
        <f t="shared" si="60"/>
        <v>3750</v>
      </c>
      <c r="W428" s="869">
        <v>1.9</v>
      </c>
      <c r="X428" s="870" t="s">
        <v>464</v>
      </c>
      <c r="Y428" s="883"/>
      <c r="Z428" s="883"/>
      <c r="AA428" s="884"/>
      <c r="AB428" s="869" t="s">
        <v>749</v>
      </c>
      <c r="AC428" s="869">
        <v>1</v>
      </c>
      <c r="AD428" s="870"/>
      <c r="AE428" s="902">
        <v>20000</v>
      </c>
      <c r="AF428" s="870"/>
      <c r="AG428" s="902">
        <f t="shared" si="61"/>
        <v>20000</v>
      </c>
      <c r="AI428" s="1003"/>
    </row>
    <row r="429" spans="1:35" ht="21.9" customHeight="1" x14ac:dyDescent="0.35">
      <c r="A429" s="841"/>
      <c r="F429" s="951"/>
      <c r="G429" s="951"/>
      <c r="L429" s="877" t="s">
        <v>741</v>
      </c>
      <c r="M429" s="878" t="s">
        <v>741</v>
      </c>
      <c r="N429" s="879"/>
      <c r="O429" s="879"/>
      <c r="P429" s="880"/>
      <c r="Q429" s="877" t="s">
        <v>741</v>
      </c>
      <c r="R429" s="877" t="s">
        <v>741</v>
      </c>
      <c r="S429" s="878"/>
      <c r="T429" s="882">
        <v>0</v>
      </c>
      <c r="U429" s="878" t="s">
        <v>741</v>
      </c>
      <c r="V429" s="882">
        <f t="shared" si="60"/>
        <v>0</v>
      </c>
      <c r="W429" s="869" t="s">
        <v>741</v>
      </c>
      <c r="X429" s="870" t="s">
        <v>741</v>
      </c>
      <c r="Y429" s="845"/>
      <c r="Z429" s="845"/>
      <c r="AA429" s="868"/>
      <c r="AB429" s="869" t="s">
        <v>741</v>
      </c>
      <c r="AC429" s="869" t="s">
        <v>741</v>
      </c>
      <c r="AD429" s="870"/>
      <c r="AE429" s="871"/>
      <c r="AF429" s="870"/>
      <c r="AG429" s="902" t="s">
        <v>741</v>
      </c>
      <c r="AI429" s="1003"/>
    </row>
    <row r="430" spans="1:35" ht="21.9" customHeight="1" x14ac:dyDescent="0.35">
      <c r="A430" s="841"/>
      <c r="F430" s="951"/>
      <c r="G430" s="951"/>
      <c r="L430" s="877" t="s">
        <v>741</v>
      </c>
      <c r="M430" s="878" t="s">
        <v>741</v>
      </c>
      <c r="N430" s="879"/>
      <c r="O430" s="879"/>
      <c r="P430" s="880"/>
      <c r="Q430" s="877" t="s">
        <v>741</v>
      </c>
      <c r="R430" s="877" t="s">
        <v>741</v>
      </c>
      <c r="S430" s="878"/>
      <c r="T430" s="882">
        <v>0</v>
      </c>
      <c r="U430" s="878" t="s">
        <v>741</v>
      </c>
      <c r="V430" s="882">
        <f t="shared" si="60"/>
        <v>0</v>
      </c>
      <c r="W430" s="869" t="s">
        <v>741</v>
      </c>
      <c r="X430" s="870" t="s">
        <v>741</v>
      </c>
      <c r="Y430" s="883"/>
      <c r="Z430" s="883"/>
      <c r="AA430" s="884"/>
      <c r="AB430" s="869" t="s">
        <v>741</v>
      </c>
      <c r="AC430" s="869" t="s">
        <v>741</v>
      </c>
      <c r="AD430" s="870"/>
      <c r="AE430" s="871" t="s">
        <v>741</v>
      </c>
      <c r="AF430" s="870"/>
      <c r="AG430" s="902" t="s">
        <v>741</v>
      </c>
      <c r="AI430" s="1003"/>
    </row>
    <row r="431" spans="1:35" ht="21.9" customHeight="1" x14ac:dyDescent="0.35">
      <c r="A431" s="841"/>
      <c r="F431" s="951"/>
      <c r="G431" s="951"/>
      <c r="L431" s="903" t="s">
        <v>260</v>
      </c>
      <c r="M431" s="904"/>
      <c r="N431" s="904"/>
      <c r="O431" s="904"/>
      <c r="P431" s="904"/>
      <c r="Q431" s="904"/>
      <c r="R431" s="904"/>
      <c r="S431" s="904"/>
      <c r="T431" s="905"/>
      <c r="U431" s="906"/>
      <c r="V431" s="907">
        <f>SUM(V419:V430)</f>
        <v>298275</v>
      </c>
      <c r="W431" s="908" t="s">
        <v>260</v>
      </c>
      <c r="X431" s="909"/>
      <c r="Y431" s="909"/>
      <c r="Z431" s="909"/>
      <c r="AA431" s="909"/>
      <c r="AB431" s="909"/>
      <c r="AC431" s="909"/>
      <c r="AD431" s="909"/>
      <c r="AE431" s="910"/>
      <c r="AF431" s="911"/>
      <c r="AG431" s="912">
        <f>SUM(AG420:AG430)</f>
        <v>454000</v>
      </c>
      <c r="AI431" s="1003"/>
    </row>
    <row r="432" spans="1:35" ht="21.9" customHeight="1" x14ac:dyDescent="0.35">
      <c r="A432" s="841"/>
      <c r="F432" s="951"/>
      <c r="G432" s="951"/>
      <c r="L432" s="831"/>
      <c r="M432" s="831"/>
      <c r="N432" s="831"/>
      <c r="O432" s="831"/>
      <c r="P432" s="831"/>
      <c r="Q432" s="831"/>
      <c r="R432" s="831"/>
      <c r="S432" s="831"/>
      <c r="T432" s="831"/>
      <c r="U432" s="831"/>
      <c r="V432" s="831"/>
      <c r="AI432" s="1003"/>
    </row>
    <row r="433" spans="1:35" ht="21.9" customHeight="1" x14ac:dyDescent="0.35">
      <c r="A433" s="951"/>
      <c r="F433" s="951"/>
      <c r="G433" s="951"/>
      <c r="I433" s="1014"/>
      <c r="K433" s="1014"/>
      <c r="L433" s="930" t="s">
        <v>593</v>
      </c>
      <c r="M433" s="930"/>
      <c r="N433" s="930"/>
      <c r="O433" s="930"/>
      <c r="P433" s="930"/>
      <c r="Q433" s="930"/>
      <c r="R433" s="930"/>
      <c r="S433" s="930"/>
      <c r="T433" s="930"/>
      <c r="U433" s="930"/>
      <c r="V433" s="930"/>
      <c r="W433" s="930" t="s">
        <v>594</v>
      </c>
      <c r="X433" s="930"/>
      <c r="Y433" s="930"/>
      <c r="Z433" s="930"/>
      <c r="AA433" s="930"/>
      <c r="AB433" s="930"/>
      <c r="AC433" s="930"/>
      <c r="AD433" s="930"/>
      <c r="AE433" s="930"/>
      <c r="AF433" s="930"/>
      <c r="AG433" s="930"/>
      <c r="AI433" s="831"/>
    </row>
    <row r="434" spans="1:35" ht="21.9" customHeight="1" x14ac:dyDescent="0.35">
      <c r="A434" s="951"/>
      <c r="F434" s="951"/>
      <c r="G434" s="951"/>
      <c r="I434" s="1014"/>
      <c r="K434" s="1014"/>
      <c r="L434" s="831"/>
      <c r="M434" s="831"/>
      <c r="N434" s="831"/>
      <c r="O434" s="831"/>
      <c r="P434" s="831"/>
      <c r="Q434" s="831"/>
      <c r="R434" s="831"/>
      <c r="S434" s="831"/>
      <c r="T434" s="831"/>
      <c r="U434" s="831"/>
      <c r="V434" s="831"/>
      <c r="W434" s="831"/>
      <c r="X434" s="831"/>
      <c r="Y434" s="831"/>
      <c r="Z434" s="831"/>
      <c r="AA434" s="831"/>
      <c r="AB434" s="831"/>
      <c r="AC434" s="831"/>
      <c r="AD434" s="831"/>
      <c r="AE434" s="831"/>
      <c r="AF434" s="831"/>
      <c r="AG434" s="831"/>
      <c r="AI434" s="831"/>
    </row>
    <row r="435" spans="1:35" ht="21.9" customHeight="1" x14ac:dyDescent="0.35">
      <c r="A435" s="951"/>
      <c r="F435" s="951"/>
      <c r="G435" s="1015"/>
      <c r="I435" s="1014"/>
      <c r="K435" s="1014"/>
      <c r="L435" s="1016" t="s">
        <v>595</v>
      </c>
      <c r="M435" s="1016"/>
      <c r="N435" s="1016"/>
      <c r="O435" s="1016"/>
      <c r="P435" s="1016"/>
      <c r="Q435" s="1016"/>
      <c r="R435" s="1016"/>
      <c r="S435" s="1016"/>
      <c r="T435" s="1016"/>
      <c r="U435" s="1016"/>
      <c r="V435" s="1016"/>
      <c r="W435" s="1016" t="s">
        <v>596</v>
      </c>
      <c r="X435" s="1016"/>
      <c r="Y435" s="1016"/>
      <c r="Z435" s="1016"/>
      <c r="AA435" s="1016"/>
      <c r="AB435" s="1016"/>
      <c r="AC435" s="1016"/>
      <c r="AD435" s="1016"/>
      <c r="AE435" s="1016"/>
      <c r="AF435" s="1016"/>
      <c r="AG435" s="1016"/>
      <c r="AI435" s="831"/>
    </row>
    <row r="436" spans="1:35" ht="21.9" customHeight="1" x14ac:dyDescent="0.35">
      <c r="A436" s="951"/>
      <c r="F436" s="951"/>
      <c r="G436" s="951"/>
      <c r="I436" s="1014"/>
      <c r="K436" s="1014"/>
      <c r="L436" s="873" t="s">
        <v>597</v>
      </c>
      <c r="M436" s="876"/>
      <c r="N436" s="874"/>
      <c r="O436" s="875" t="s">
        <v>518</v>
      </c>
      <c r="P436" s="873" t="s">
        <v>266</v>
      </c>
      <c r="Q436" s="874"/>
      <c r="R436" s="873" t="s">
        <v>598</v>
      </c>
      <c r="S436" s="874"/>
      <c r="T436" s="873" t="s">
        <v>599</v>
      </c>
      <c r="U436" s="876"/>
      <c r="V436" s="874"/>
      <c r="W436" s="873" t="s">
        <v>597</v>
      </c>
      <c r="X436" s="874"/>
      <c r="Y436" s="875" t="s">
        <v>518</v>
      </c>
      <c r="Z436" s="1017" t="s">
        <v>266</v>
      </c>
      <c r="AA436" s="875" t="s">
        <v>598</v>
      </c>
      <c r="AB436" s="875" t="s">
        <v>600</v>
      </c>
      <c r="AC436" s="875" t="s">
        <v>601</v>
      </c>
      <c r="AD436" s="875" t="s">
        <v>598</v>
      </c>
      <c r="AE436" s="875" t="s">
        <v>600</v>
      </c>
      <c r="AF436" s="873" t="s">
        <v>602</v>
      </c>
      <c r="AG436" s="874"/>
      <c r="AI436" s="831"/>
    </row>
    <row r="437" spans="1:35" ht="21.9" customHeight="1" x14ac:dyDescent="0.35">
      <c r="A437" s="841"/>
      <c r="B437" s="840"/>
      <c r="F437" s="951"/>
      <c r="G437" s="951"/>
      <c r="I437" s="1014"/>
      <c r="K437" s="1014"/>
      <c r="L437" s="1018"/>
      <c r="M437" s="1019"/>
      <c r="N437" s="1020"/>
      <c r="O437" s="1021"/>
      <c r="P437" s="1018" t="s">
        <v>603</v>
      </c>
      <c r="Q437" s="1020"/>
      <c r="R437" s="1018" t="s">
        <v>604</v>
      </c>
      <c r="S437" s="1020"/>
      <c r="T437" s="1018" t="s">
        <v>605</v>
      </c>
      <c r="U437" s="1019"/>
      <c r="V437" s="1020"/>
      <c r="W437" s="1022"/>
      <c r="X437" s="1023"/>
      <c r="Y437" s="1021"/>
      <c r="Z437" s="1022" t="s">
        <v>606</v>
      </c>
      <c r="AA437" s="1024" t="s">
        <v>607</v>
      </c>
      <c r="AB437" s="1022" t="s">
        <v>608</v>
      </c>
      <c r="AC437" s="1024" t="s">
        <v>609</v>
      </c>
      <c r="AD437" s="1024" t="s">
        <v>609</v>
      </c>
      <c r="AE437" s="1022" t="s">
        <v>608</v>
      </c>
      <c r="AF437" s="1018" t="s">
        <v>610</v>
      </c>
      <c r="AG437" s="1020"/>
      <c r="AI437" s="831"/>
    </row>
    <row r="438" spans="1:35" ht="21.9" customHeight="1" x14ac:dyDescent="0.35">
      <c r="A438" s="951"/>
      <c r="F438" s="951"/>
      <c r="G438" s="951"/>
      <c r="I438" s="1014"/>
      <c r="K438" s="1014"/>
      <c r="L438" s="888" t="s">
        <v>660</v>
      </c>
      <c r="M438" s="891"/>
      <c r="N438" s="889"/>
      <c r="O438" s="890" t="s">
        <v>519</v>
      </c>
      <c r="P438" s="1025" t="s">
        <v>611</v>
      </c>
      <c r="Q438" s="859"/>
      <c r="R438" s="1025" t="s">
        <v>612</v>
      </c>
      <c r="S438" s="859"/>
      <c r="T438" s="1025" t="s">
        <v>613</v>
      </c>
      <c r="U438" s="1026"/>
      <c r="V438" s="859"/>
      <c r="W438" s="888" t="s">
        <v>660</v>
      </c>
      <c r="X438" s="889"/>
      <c r="Y438" s="890" t="s">
        <v>519</v>
      </c>
      <c r="Z438" s="1027" t="s">
        <v>611</v>
      </c>
      <c r="AA438" s="890" t="s">
        <v>612</v>
      </c>
      <c r="AB438" s="1027" t="s">
        <v>614</v>
      </c>
      <c r="AC438" s="890" t="s">
        <v>612</v>
      </c>
      <c r="AD438" s="890" t="s">
        <v>612</v>
      </c>
      <c r="AE438" s="1027" t="s">
        <v>614</v>
      </c>
      <c r="AF438" s="888" t="s">
        <v>613</v>
      </c>
      <c r="AG438" s="889"/>
      <c r="AI438" s="831"/>
    </row>
    <row r="439" spans="1:35" ht="21.9" customHeight="1" x14ac:dyDescent="0.35">
      <c r="A439" s="951"/>
      <c r="F439" s="951"/>
      <c r="G439" s="951"/>
      <c r="I439" s="1014"/>
      <c r="K439" s="1014"/>
      <c r="L439" s="1028" t="s">
        <v>267</v>
      </c>
      <c r="M439" s="984">
        <f t="shared" ref="M439:M462" si="62">B10</f>
        <v>0.5</v>
      </c>
      <c r="N439" s="831"/>
      <c r="O439" s="864">
        <f t="shared" ref="O439:O462" si="63">E10</f>
        <v>6</v>
      </c>
      <c r="P439" s="1029"/>
      <c r="Q439" s="1030">
        <f>$V$19</f>
        <v>5954.75</v>
      </c>
      <c r="R439" s="831"/>
      <c r="S439" s="1031">
        <f t="shared" ref="S439:S462" si="64">ROUND((O439*Q439),0)</f>
        <v>35729</v>
      </c>
      <c r="T439" s="831"/>
      <c r="U439" s="1032">
        <f t="shared" ref="U439:U462" si="65">ROUND((S439*100)/(M439*1000000),4)</f>
        <v>7.1458000000000004</v>
      </c>
      <c r="V439" s="1033"/>
      <c r="W439" s="1028" t="s">
        <v>267</v>
      </c>
      <c r="X439" s="1034">
        <f>B10</f>
        <v>0.5</v>
      </c>
      <c r="Y439" s="864">
        <f>E10</f>
        <v>6</v>
      </c>
      <c r="Z439" s="1030">
        <f>$AG$19</f>
        <v>4000</v>
      </c>
      <c r="AA439" s="1035">
        <f>Y439*Z439</f>
        <v>24000</v>
      </c>
      <c r="AB439" s="1036">
        <f>ROUND((AA439*100)/(X439*1000000),4)</f>
        <v>4.8</v>
      </c>
      <c r="AC439" s="1037"/>
      <c r="AD439" s="1031" t="s">
        <v>741</v>
      </c>
      <c r="AE439" s="1038">
        <f>AB439</f>
        <v>4.8</v>
      </c>
      <c r="AF439" s="1039"/>
      <c r="AG439" s="1040">
        <f>ROUND(($AE$439+$AE$440+$AE$441+$AE$442+$AE$443)/5,4)</f>
        <v>3.3</v>
      </c>
    </row>
    <row r="440" spans="1:35" ht="21.9" customHeight="1" x14ac:dyDescent="0.35">
      <c r="A440" s="951"/>
      <c r="F440" s="951"/>
      <c r="G440" s="951"/>
      <c r="I440" s="1014"/>
      <c r="K440" s="1014"/>
      <c r="L440" s="1041"/>
      <c r="M440" s="994">
        <f t="shared" si="62"/>
        <v>1</v>
      </c>
      <c r="N440" s="831"/>
      <c r="O440" s="877">
        <f t="shared" si="63"/>
        <v>6</v>
      </c>
      <c r="P440" s="1042"/>
      <c r="Q440" s="1030">
        <f>$V$36</f>
        <v>11909.5</v>
      </c>
      <c r="R440" s="831"/>
      <c r="S440" s="882">
        <f t="shared" si="64"/>
        <v>71457</v>
      </c>
      <c r="T440" s="831"/>
      <c r="U440" s="1032">
        <f t="shared" si="65"/>
        <v>7.1456999999999997</v>
      </c>
      <c r="V440" s="1043"/>
      <c r="W440" s="1041"/>
      <c r="X440" s="1044">
        <f>B11</f>
        <v>1</v>
      </c>
      <c r="Y440" s="877">
        <f>E11</f>
        <v>6</v>
      </c>
      <c r="Z440" s="1030">
        <f>$AG$36</f>
        <v>6500</v>
      </c>
      <c r="AA440" s="1045">
        <f>Y440*Z440</f>
        <v>39000</v>
      </c>
      <c r="AB440" s="1046">
        <f>ROUND((AA440*100)/(X440*1000000),4)</f>
        <v>3.9</v>
      </c>
      <c r="AC440" s="1047"/>
      <c r="AD440" s="882" t="s">
        <v>741</v>
      </c>
      <c r="AE440" s="1048">
        <f>AB440</f>
        <v>3.9</v>
      </c>
      <c r="AF440" s="1039"/>
      <c r="AG440" s="1040">
        <f>ROUND(($AE$439+$AE$440+$AE$441+$AE$442+$AE$443)/5,4)</f>
        <v>3.3</v>
      </c>
    </row>
    <row r="441" spans="1:35" ht="21.9" customHeight="1" x14ac:dyDescent="0.35">
      <c r="A441" s="951"/>
      <c r="F441" s="951"/>
      <c r="G441" s="951"/>
      <c r="I441" s="1014"/>
      <c r="K441" s="1014"/>
      <c r="L441" s="1041"/>
      <c r="M441" s="994">
        <f t="shared" si="62"/>
        <v>2</v>
      </c>
      <c r="N441" s="831"/>
      <c r="O441" s="877">
        <f t="shared" si="63"/>
        <v>9</v>
      </c>
      <c r="P441" s="1042"/>
      <c r="Q441" s="1030">
        <f>V54</f>
        <v>15490.444444444445</v>
      </c>
      <c r="R441" s="831"/>
      <c r="S441" s="882">
        <f t="shared" si="64"/>
        <v>139414</v>
      </c>
      <c r="T441" s="831"/>
      <c r="U441" s="1032">
        <f t="shared" si="65"/>
        <v>6.9706999999999999</v>
      </c>
      <c r="V441" s="1043"/>
      <c r="W441" s="1041"/>
      <c r="X441" s="1044">
        <f>B12</f>
        <v>2</v>
      </c>
      <c r="Y441" s="877">
        <f>E12</f>
        <v>9</v>
      </c>
      <c r="Z441" s="1030">
        <f>$AG$54</f>
        <v>6500</v>
      </c>
      <c r="AA441" s="1045">
        <f>Y441*Z441</f>
        <v>58500</v>
      </c>
      <c r="AB441" s="1046">
        <f>ROUND((AA441*100)/(X441*1000000),4)</f>
        <v>2.9249999999999998</v>
      </c>
      <c r="AC441" s="1047"/>
      <c r="AD441" s="882" t="s">
        <v>741</v>
      </c>
      <c r="AE441" s="1048">
        <f>AB441</f>
        <v>2.9249999999999998</v>
      </c>
      <c r="AF441" s="1039"/>
      <c r="AG441" s="1040">
        <f>ROUND(($AE$439+$AE$440+$AE$441+$AE$442+$AE$443)/5,4)</f>
        <v>3.3</v>
      </c>
    </row>
    <row r="442" spans="1:35" ht="21.9" customHeight="1" x14ac:dyDescent="0.35">
      <c r="A442" s="951"/>
      <c r="F442" s="951"/>
      <c r="G442" s="951"/>
      <c r="I442" s="1014"/>
      <c r="K442" s="1014"/>
      <c r="L442" s="1041"/>
      <c r="M442" s="994">
        <f t="shared" si="62"/>
        <v>5</v>
      </c>
      <c r="N442" s="831"/>
      <c r="O442" s="877">
        <f t="shared" si="63"/>
        <v>12</v>
      </c>
      <c r="P442" s="1042"/>
      <c r="Q442" s="1030">
        <f>V71</f>
        <v>28680</v>
      </c>
      <c r="R442" s="831"/>
      <c r="S442" s="882">
        <f t="shared" si="64"/>
        <v>344160</v>
      </c>
      <c r="T442" s="831"/>
      <c r="U442" s="1032">
        <f t="shared" si="65"/>
        <v>6.8832000000000004</v>
      </c>
      <c r="V442" s="1043"/>
      <c r="W442" s="1041"/>
      <c r="X442" s="1044">
        <f>B13</f>
        <v>5</v>
      </c>
      <c r="Y442" s="877">
        <f>E13</f>
        <v>12</v>
      </c>
      <c r="Z442" s="1030">
        <f>$AG$71</f>
        <v>12500</v>
      </c>
      <c r="AA442" s="1045">
        <f>Y442*Z442</f>
        <v>150000</v>
      </c>
      <c r="AB442" s="1046">
        <f>ROUND((AA442*100)/(X442*1000000),4)</f>
        <v>3</v>
      </c>
      <c r="AC442" s="1047"/>
      <c r="AD442" s="882" t="s">
        <v>741</v>
      </c>
      <c r="AE442" s="1048">
        <f>AB442</f>
        <v>3</v>
      </c>
      <c r="AF442" s="1039"/>
      <c r="AG442" s="1040">
        <f>ROUND(($AE$439+$AE$440+$AE$441+$AE$442+$AE$443)/5,4)</f>
        <v>3.3</v>
      </c>
    </row>
    <row r="443" spans="1:35" ht="21.9" customHeight="1" x14ac:dyDescent="0.35">
      <c r="A443" s="841"/>
      <c r="B443" s="840"/>
      <c r="C443" s="840"/>
      <c r="D443" s="840"/>
      <c r="E443" s="840"/>
      <c r="F443" s="951"/>
      <c r="G443" s="951"/>
      <c r="I443" s="1014"/>
      <c r="K443" s="1049"/>
      <c r="L443" s="1041"/>
      <c r="M443" s="994">
        <f t="shared" si="62"/>
        <v>10</v>
      </c>
      <c r="N443" s="831"/>
      <c r="O443" s="877">
        <f t="shared" si="63"/>
        <v>15</v>
      </c>
      <c r="P443" s="1042"/>
      <c r="Q443" s="1030">
        <f>V90</f>
        <v>44596</v>
      </c>
      <c r="R443" s="831"/>
      <c r="S443" s="882">
        <f t="shared" si="64"/>
        <v>668940</v>
      </c>
      <c r="T443" s="831"/>
      <c r="U443" s="1032">
        <f t="shared" si="65"/>
        <v>6.6894</v>
      </c>
      <c r="V443" s="1043"/>
      <c r="W443" s="1041"/>
      <c r="X443" s="1044">
        <f>B14</f>
        <v>10</v>
      </c>
      <c r="Y443" s="877">
        <f>E14</f>
        <v>15</v>
      </c>
      <c r="Z443" s="1030">
        <f>$AG$90</f>
        <v>12500</v>
      </c>
      <c r="AA443" s="1045">
        <f>Y443*Z443</f>
        <v>187500</v>
      </c>
      <c r="AB443" s="1046">
        <f>ROUND((AA443*100)/(X443*1000000),4)</f>
        <v>1.875</v>
      </c>
      <c r="AC443" s="1047"/>
      <c r="AD443" s="882" t="s">
        <v>741</v>
      </c>
      <c r="AE443" s="1048">
        <f>AB443</f>
        <v>1.875</v>
      </c>
      <c r="AF443" s="1039"/>
      <c r="AG443" s="1040">
        <f>ROUND(($AE$439+$AE$440+$AE$441+$AE$442+$AE$443)/5,4)</f>
        <v>3.3</v>
      </c>
    </row>
    <row r="444" spans="1:35" ht="21.9" customHeight="1" x14ac:dyDescent="0.35">
      <c r="A444" s="951"/>
      <c r="F444" s="951"/>
      <c r="G444" s="951"/>
      <c r="I444" s="1050"/>
      <c r="K444" s="1050"/>
      <c r="L444" s="1041"/>
      <c r="M444" s="994">
        <f t="shared" si="62"/>
        <v>15</v>
      </c>
      <c r="N444" s="831"/>
      <c r="O444" s="877">
        <f t="shared" si="63"/>
        <v>15</v>
      </c>
      <c r="P444" s="1042"/>
      <c r="Q444" s="1030">
        <f>V107</f>
        <v>29352</v>
      </c>
      <c r="R444" s="831"/>
      <c r="S444" s="882">
        <f t="shared" si="64"/>
        <v>440280</v>
      </c>
      <c r="T444" s="831"/>
      <c r="U444" s="1032">
        <f t="shared" si="65"/>
        <v>2.9352</v>
      </c>
      <c r="V444" s="1043"/>
      <c r="W444" s="1041"/>
      <c r="X444" s="1044" t="s">
        <v>741</v>
      </c>
      <c r="Y444" s="877" t="s">
        <v>741</v>
      </c>
      <c r="Z444" s="1030" t="s">
        <v>741</v>
      </c>
      <c r="AA444" s="1045" t="s">
        <v>741</v>
      </c>
      <c r="AB444" s="1046" t="s">
        <v>741</v>
      </c>
      <c r="AC444" s="1045">
        <f>Z445</f>
        <v>35000</v>
      </c>
      <c r="AD444" s="1030">
        <f>Y443*AC444</f>
        <v>525000</v>
      </c>
      <c r="AE444" s="1046">
        <f>ROUND((AD444*100)/(X443*1000000),4)</f>
        <v>5.25</v>
      </c>
      <c r="AF444" s="1039"/>
      <c r="AG444" s="1040" t="s">
        <v>741</v>
      </c>
    </row>
    <row r="445" spans="1:35" ht="21.9" customHeight="1" x14ac:dyDescent="0.35">
      <c r="A445" s="951"/>
      <c r="F445" s="951"/>
      <c r="G445" s="951"/>
      <c r="I445" s="1014"/>
      <c r="K445" s="1014"/>
      <c r="L445" s="1041"/>
      <c r="M445" s="994">
        <f t="shared" si="62"/>
        <v>20</v>
      </c>
      <c r="N445" s="831"/>
      <c r="O445" s="877">
        <f t="shared" si="63"/>
        <v>16</v>
      </c>
      <c r="P445" s="1042"/>
      <c r="Q445" s="1030">
        <f>V126</f>
        <v>36526.25</v>
      </c>
      <c r="R445" s="831"/>
      <c r="S445" s="882">
        <f t="shared" si="64"/>
        <v>584420</v>
      </c>
      <c r="T445" s="831"/>
      <c r="U445" s="1032">
        <f t="shared" si="65"/>
        <v>2.9220999999999999</v>
      </c>
      <c r="V445" s="1043"/>
      <c r="W445" s="1041"/>
      <c r="X445" s="1044">
        <f>B15</f>
        <v>15</v>
      </c>
      <c r="Y445" s="877">
        <f>E15</f>
        <v>15</v>
      </c>
      <c r="Z445" s="1030">
        <f>$AG$107</f>
        <v>35000</v>
      </c>
      <c r="AA445" s="1045">
        <f>Y445*Z445</f>
        <v>525000</v>
      </c>
      <c r="AB445" s="1046">
        <f>ROUND((AA445*100)/(X445*1000000),4)</f>
        <v>3.5</v>
      </c>
      <c r="AC445" s="1047"/>
      <c r="AD445" s="882" t="s">
        <v>741</v>
      </c>
      <c r="AE445" s="1048">
        <f>AB445</f>
        <v>3.5</v>
      </c>
      <c r="AF445" s="1039"/>
      <c r="AG445" s="1040">
        <f>ROUND(($AE$444+$AE$445+$AE$446+$AE$447)/4,4)</f>
        <v>3.4474999999999998</v>
      </c>
    </row>
    <row r="446" spans="1:35" ht="21.9" customHeight="1" x14ac:dyDescent="0.35">
      <c r="A446" s="951"/>
      <c r="F446" s="951"/>
      <c r="G446" s="951"/>
      <c r="I446" s="1014"/>
      <c r="K446" s="1014"/>
      <c r="L446" s="1041"/>
      <c r="M446" s="994">
        <f t="shared" si="62"/>
        <v>25</v>
      </c>
      <c r="N446" s="831"/>
      <c r="O446" s="877">
        <f t="shared" si="63"/>
        <v>16</v>
      </c>
      <c r="P446" s="1042"/>
      <c r="Q446" s="1030">
        <f>V143</f>
        <v>45318.75</v>
      </c>
      <c r="R446" s="831"/>
      <c r="S446" s="882">
        <f t="shared" si="64"/>
        <v>725100</v>
      </c>
      <c r="T446" s="831"/>
      <c r="U446" s="1032">
        <f t="shared" si="65"/>
        <v>2.9003999999999999</v>
      </c>
      <c r="V446" s="1043"/>
      <c r="W446" s="1041"/>
      <c r="X446" s="1044">
        <f>B16</f>
        <v>20</v>
      </c>
      <c r="Y446" s="877">
        <f>E16</f>
        <v>16</v>
      </c>
      <c r="Z446" s="1030">
        <f>$AG$126</f>
        <v>35000</v>
      </c>
      <c r="AA446" s="1045">
        <f>Y446*Z446</f>
        <v>560000</v>
      </c>
      <c r="AB446" s="1046">
        <f>ROUND((AA446*100)/(X446*1000000),4)</f>
        <v>2.8</v>
      </c>
      <c r="AC446" s="1047"/>
      <c r="AD446" s="882" t="s">
        <v>741</v>
      </c>
      <c r="AE446" s="1048">
        <f>AB446</f>
        <v>2.8</v>
      </c>
      <c r="AF446" s="1039"/>
      <c r="AG446" s="1040">
        <f>ROUND(($AE$444+$AE$445+$AE$446+$AE$447)/4,4)</f>
        <v>3.4474999999999998</v>
      </c>
    </row>
    <row r="447" spans="1:35" ht="21.9" customHeight="1" x14ac:dyDescent="0.35">
      <c r="A447" s="951"/>
      <c r="F447" s="951"/>
      <c r="G447" s="951"/>
      <c r="I447" s="1014"/>
      <c r="K447" s="1014"/>
      <c r="L447" s="1041"/>
      <c r="M447" s="994">
        <f t="shared" si="62"/>
        <v>30</v>
      </c>
      <c r="N447" s="831"/>
      <c r="O447" s="877">
        <f t="shared" si="63"/>
        <v>17</v>
      </c>
      <c r="P447" s="1042"/>
      <c r="Q447" s="1030">
        <f>V162</f>
        <v>45321.176470588238</v>
      </c>
      <c r="R447" s="831"/>
      <c r="S447" s="882">
        <f t="shared" si="64"/>
        <v>770460</v>
      </c>
      <c r="T447" s="831"/>
      <c r="U447" s="1032">
        <f t="shared" si="65"/>
        <v>2.5682</v>
      </c>
      <c r="V447" s="1043"/>
      <c r="W447" s="1041"/>
      <c r="X447" s="1044">
        <f>B17</f>
        <v>25</v>
      </c>
      <c r="Y447" s="877">
        <f>E17</f>
        <v>16</v>
      </c>
      <c r="Z447" s="1030">
        <f>$AG$143</f>
        <v>35000</v>
      </c>
      <c r="AA447" s="1045">
        <f>Y447*Z447</f>
        <v>560000</v>
      </c>
      <c r="AB447" s="1046">
        <f>ROUND((AA447*100)/(X447*1000000),4)</f>
        <v>2.2400000000000002</v>
      </c>
      <c r="AC447" s="1047"/>
      <c r="AD447" s="882" t="s">
        <v>741</v>
      </c>
      <c r="AE447" s="1048">
        <f>AB447</f>
        <v>2.2400000000000002</v>
      </c>
      <c r="AF447" s="1039"/>
      <c r="AG447" s="1040">
        <f>ROUND(($AE$444+$AE$445+$AE$446+$AE$447)/4,4)</f>
        <v>3.4474999999999998</v>
      </c>
    </row>
    <row r="448" spans="1:35" ht="21.9" customHeight="1" x14ac:dyDescent="0.35">
      <c r="A448" s="951"/>
      <c r="F448" s="951"/>
      <c r="G448" s="951"/>
      <c r="I448" s="1014"/>
      <c r="K448" s="1014"/>
      <c r="L448" s="1041"/>
      <c r="M448" s="994">
        <f t="shared" si="62"/>
        <v>40</v>
      </c>
      <c r="N448" s="831"/>
      <c r="O448" s="877">
        <f t="shared" si="63"/>
        <v>17</v>
      </c>
      <c r="P448" s="1042"/>
      <c r="Q448" s="1030">
        <f>V179</f>
        <v>55155.294117647056</v>
      </c>
      <c r="R448" s="831"/>
      <c r="S448" s="882">
        <f t="shared" si="64"/>
        <v>937640</v>
      </c>
      <c r="T448" s="831"/>
      <c r="U448" s="1032">
        <f t="shared" si="65"/>
        <v>2.3441000000000001</v>
      </c>
      <c r="V448" s="1043"/>
      <c r="W448" s="1041"/>
      <c r="X448" s="1044" t="s">
        <v>741</v>
      </c>
      <c r="Y448" s="877" t="s">
        <v>741</v>
      </c>
      <c r="Z448" s="1030" t="s">
        <v>741</v>
      </c>
      <c r="AA448" s="1045" t="s">
        <v>741</v>
      </c>
      <c r="AB448" s="1046" t="s">
        <v>741</v>
      </c>
      <c r="AC448" s="1045">
        <f>Z449</f>
        <v>65000</v>
      </c>
      <c r="AD448" s="1030">
        <f>Y447*AC448</f>
        <v>1040000</v>
      </c>
      <c r="AE448" s="1046">
        <f>ROUND((AD448*100)/(X447*1000000),4)</f>
        <v>4.16</v>
      </c>
      <c r="AF448" s="1039"/>
      <c r="AG448" s="1040" t="s">
        <v>741</v>
      </c>
    </row>
    <row r="449" spans="1:33" ht="21.9" customHeight="1" x14ac:dyDescent="0.35">
      <c r="A449" s="951"/>
      <c r="F449" s="951"/>
      <c r="G449" s="951"/>
      <c r="I449" s="1014"/>
      <c r="K449" s="1014"/>
      <c r="L449" s="1041"/>
      <c r="M449" s="994">
        <f t="shared" si="62"/>
        <v>50</v>
      </c>
      <c r="N449" s="831"/>
      <c r="O449" s="877">
        <f t="shared" si="63"/>
        <v>18</v>
      </c>
      <c r="P449" s="1042"/>
      <c r="Q449" s="1030">
        <f>V198</f>
        <v>64827.777777777781</v>
      </c>
      <c r="R449" s="831"/>
      <c r="S449" s="882">
        <f t="shared" si="64"/>
        <v>1166900</v>
      </c>
      <c r="T449" s="831"/>
      <c r="U449" s="1032">
        <f t="shared" si="65"/>
        <v>2.3338000000000001</v>
      </c>
      <c r="V449" s="1043"/>
      <c r="W449" s="1041"/>
      <c r="X449" s="1044">
        <f>B18</f>
        <v>30</v>
      </c>
      <c r="Y449" s="877">
        <f>E18</f>
        <v>17</v>
      </c>
      <c r="Z449" s="1030">
        <f>$AG$162</f>
        <v>65000</v>
      </c>
      <c r="AA449" s="1045">
        <f>Y449*Z449</f>
        <v>1105000</v>
      </c>
      <c r="AB449" s="1046">
        <f>ROUND((AA449*100)/(X449*1000000),4)</f>
        <v>3.6833</v>
      </c>
      <c r="AC449" s="1047"/>
      <c r="AD449" s="882" t="s">
        <v>741</v>
      </c>
      <c r="AE449" s="1048">
        <f>AB449</f>
        <v>3.6833</v>
      </c>
      <c r="AF449" s="1039"/>
      <c r="AG449" s="1040">
        <f>ROUND(($AE$448+$AE$449+$AE$450+$AE$451)/4,4)</f>
        <v>3.2364999999999999</v>
      </c>
    </row>
    <row r="450" spans="1:33" ht="21.9" customHeight="1" x14ac:dyDescent="0.35">
      <c r="A450" s="841"/>
      <c r="B450" s="841"/>
      <c r="C450" s="841"/>
      <c r="D450" s="841"/>
      <c r="E450" s="841"/>
      <c r="F450" s="841"/>
      <c r="G450" s="841"/>
      <c r="H450" s="841"/>
      <c r="I450" s="841"/>
      <c r="K450" s="1001"/>
      <c r="L450" s="1041"/>
      <c r="M450" s="994">
        <f t="shared" si="62"/>
        <v>60</v>
      </c>
      <c r="N450" s="831"/>
      <c r="O450" s="877">
        <f t="shared" si="63"/>
        <v>18</v>
      </c>
      <c r="P450" s="1042"/>
      <c r="Q450" s="1030">
        <f>V215</f>
        <v>70393.333333333328</v>
      </c>
      <c r="R450" s="831"/>
      <c r="S450" s="882">
        <f t="shared" si="64"/>
        <v>1267080</v>
      </c>
      <c r="T450" s="831"/>
      <c r="U450" s="1032">
        <f t="shared" si="65"/>
        <v>2.1118000000000001</v>
      </c>
      <c r="V450" s="1043"/>
      <c r="W450" s="1041"/>
      <c r="X450" s="1044">
        <f>B19</f>
        <v>40</v>
      </c>
      <c r="Y450" s="877">
        <f>E19</f>
        <v>17</v>
      </c>
      <c r="Z450" s="1030">
        <f>$AG$179</f>
        <v>65000</v>
      </c>
      <c r="AA450" s="1045">
        <f>Y450*Z450</f>
        <v>1105000</v>
      </c>
      <c r="AB450" s="1046">
        <f>ROUND((AA450*100)/(X450*1000000),4)</f>
        <v>2.7625000000000002</v>
      </c>
      <c r="AC450" s="1047"/>
      <c r="AD450" s="882" t="s">
        <v>741</v>
      </c>
      <c r="AE450" s="1048">
        <f>AB450</f>
        <v>2.7625000000000002</v>
      </c>
      <c r="AF450" s="1039"/>
      <c r="AG450" s="1040">
        <f>ROUND(($AE$448+$AE$449+$AE$450+$AE$451)/4,4)</f>
        <v>3.2364999999999999</v>
      </c>
    </row>
    <row r="451" spans="1:33" ht="21.9" customHeight="1" x14ac:dyDescent="0.35">
      <c r="A451" s="841"/>
      <c r="B451" s="840"/>
      <c r="C451" s="840"/>
      <c r="E451" s="840"/>
      <c r="F451" s="951"/>
      <c r="G451" s="951"/>
      <c r="I451" s="1014"/>
      <c r="K451" s="1014"/>
      <c r="L451" s="1041"/>
      <c r="M451" s="994">
        <f t="shared" si="62"/>
        <v>70</v>
      </c>
      <c r="N451" s="831"/>
      <c r="O451" s="877">
        <f t="shared" si="63"/>
        <v>20</v>
      </c>
      <c r="P451" s="1042"/>
      <c r="Q451" s="1030">
        <f>V234</f>
        <v>72768.5</v>
      </c>
      <c r="R451" s="831"/>
      <c r="S451" s="882">
        <f t="shared" si="64"/>
        <v>1455370</v>
      </c>
      <c r="T451" s="831"/>
      <c r="U451" s="1032">
        <f t="shared" si="65"/>
        <v>2.0790999999999999</v>
      </c>
      <c r="V451" s="1043"/>
      <c r="W451" s="1041"/>
      <c r="X451" s="1044">
        <f>B20</f>
        <v>50</v>
      </c>
      <c r="Y451" s="877">
        <f>E20</f>
        <v>18</v>
      </c>
      <c r="Z451" s="1030">
        <f>$AG$198</f>
        <v>65000</v>
      </c>
      <c r="AA451" s="1045">
        <f>Y451*Z451</f>
        <v>1170000</v>
      </c>
      <c r="AB451" s="1046">
        <f>ROUND((AA451*100)/(X451*1000000),4)</f>
        <v>2.34</v>
      </c>
      <c r="AC451" s="1047"/>
      <c r="AD451" s="1047"/>
      <c r="AE451" s="1048">
        <f>AB451</f>
        <v>2.34</v>
      </c>
      <c r="AF451" s="1039"/>
      <c r="AG451" s="1040">
        <f>ROUND(($AE$448+$AE$449+$AE$450+$AE$451)/4,4)</f>
        <v>3.2364999999999999</v>
      </c>
    </row>
    <row r="452" spans="1:33" ht="21.9" customHeight="1" x14ac:dyDescent="0.35">
      <c r="A452" s="951"/>
      <c r="F452" s="951"/>
      <c r="G452" s="951"/>
      <c r="I452" s="1014"/>
      <c r="K452" s="1014"/>
      <c r="L452" s="1041"/>
      <c r="M452" s="994">
        <f t="shared" si="62"/>
        <v>80</v>
      </c>
      <c r="N452" s="831"/>
      <c r="O452" s="877">
        <f t="shared" si="63"/>
        <v>20</v>
      </c>
      <c r="P452" s="1042"/>
      <c r="Q452" s="1030">
        <f>V251</f>
        <v>83164</v>
      </c>
      <c r="R452" s="831"/>
      <c r="S452" s="882">
        <f t="shared" si="64"/>
        <v>1663280</v>
      </c>
      <c r="T452" s="831"/>
      <c r="U452" s="1032">
        <f t="shared" si="65"/>
        <v>2.0790999999999999</v>
      </c>
      <c r="V452" s="1043"/>
      <c r="W452" s="1041"/>
      <c r="X452" s="1044" t="s">
        <v>741</v>
      </c>
      <c r="Y452" s="877" t="s">
        <v>741</v>
      </c>
      <c r="Z452" s="1030" t="s">
        <v>741</v>
      </c>
      <c r="AA452" s="1045" t="s">
        <v>741</v>
      </c>
      <c r="AB452" s="1046" t="s">
        <v>741</v>
      </c>
      <c r="AC452" s="1045">
        <f>Z453</f>
        <v>113000</v>
      </c>
      <c r="AD452" s="1030">
        <f>Y451*AC452</f>
        <v>2034000</v>
      </c>
      <c r="AE452" s="1046">
        <f>ROUND((AD452*100)/(X451*1000000),4)</f>
        <v>4.0679999999999996</v>
      </c>
      <c r="AF452" s="1039"/>
      <c r="AG452" s="1040"/>
    </row>
    <row r="453" spans="1:33" ht="21.9" customHeight="1" x14ac:dyDescent="0.35">
      <c r="A453" s="951"/>
      <c r="F453" s="951"/>
      <c r="G453" s="951"/>
      <c r="I453" s="1014"/>
      <c r="K453" s="1014"/>
      <c r="L453" s="1041"/>
      <c r="M453" s="994">
        <f t="shared" si="62"/>
        <v>90</v>
      </c>
      <c r="N453" s="831"/>
      <c r="O453" s="877">
        <f t="shared" si="63"/>
        <v>20</v>
      </c>
      <c r="P453" s="1042"/>
      <c r="Q453" s="1030">
        <f>V270</f>
        <v>83002.5</v>
      </c>
      <c r="R453" s="831"/>
      <c r="S453" s="882">
        <f t="shared" si="64"/>
        <v>1660050</v>
      </c>
      <c r="T453" s="831"/>
      <c r="U453" s="1032">
        <f t="shared" si="65"/>
        <v>1.8445</v>
      </c>
      <c r="V453" s="1043"/>
      <c r="W453" s="1041"/>
      <c r="X453" s="1044">
        <f>B21</f>
        <v>60</v>
      </c>
      <c r="Y453" s="877">
        <f>E21</f>
        <v>18</v>
      </c>
      <c r="Z453" s="1030">
        <f>$AG$215</f>
        <v>113000</v>
      </c>
      <c r="AA453" s="1045">
        <f>Y453*Z453</f>
        <v>2034000</v>
      </c>
      <c r="AB453" s="1046">
        <f>ROUND((AA453*100)/(X453*1000000),4)</f>
        <v>3.39</v>
      </c>
      <c r="AC453" s="1047"/>
      <c r="AD453" s="882" t="s">
        <v>741</v>
      </c>
      <c r="AE453" s="1048">
        <f>AB453</f>
        <v>3.39</v>
      </c>
      <c r="AF453" s="1039"/>
      <c r="AG453" s="1040">
        <f>ROUND(($AE$452+$AE$453+$AE$454+$AE$455+$AE$456+$AE$457)/6,4)</f>
        <v>3.0470999999999999</v>
      </c>
    </row>
    <row r="454" spans="1:33" ht="21.9" customHeight="1" x14ac:dyDescent="0.35">
      <c r="A454" s="951"/>
      <c r="F454" s="951"/>
      <c r="G454" s="951"/>
      <c r="I454" s="1014"/>
      <c r="K454" s="1014"/>
      <c r="L454" s="1041"/>
      <c r="M454" s="994">
        <f t="shared" si="62"/>
        <v>100</v>
      </c>
      <c r="N454" s="831"/>
      <c r="O454" s="877">
        <f t="shared" si="63"/>
        <v>20</v>
      </c>
      <c r="P454" s="1042"/>
      <c r="Q454" s="1030">
        <f>V287</f>
        <v>92225</v>
      </c>
      <c r="R454" s="831"/>
      <c r="S454" s="882">
        <f t="shared" si="64"/>
        <v>1844500</v>
      </c>
      <c r="T454" s="831"/>
      <c r="U454" s="1032">
        <f t="shared" si="65"/>
        <v>1.8445</v>
      </c>
      <c r="V454" s="1043"/>
      <c r="W454" s="1041"/>
      <c r="X454" s="1044">
        <f>B22</f>
        <v>70</v>
      </c>
      <c r="Y454" s="877">
        <f>E22</f>
        <v>20</v>
      </c>
      <c r="Z454" s="1030">
        <f>$AG$234</f>
        <v>113000</v>
      </c>
      <c r="AA454" s="1045">
        <f>Y454*Z454</f>
        <v>2260000</v>
      </c>
      <c r="AB454" s="1046">
        <f>ROUND((AA454*100)/(X454*1000000),4)</f>
        <v>3.2286000000000001</v>
      </c>
      <c r="AC454" s="1047"/>
      <c r="AD454" s="882" t="s">
        <v>741</v>
      </c>
      <c r="AE454" s="1048">
        <f>AB454</f>
        <v>3.2286000000000001</v>
      </c>
      <c r="AF454" s="1039"/>
      <c r="AG454" s="1040">
        <f>ROUND(($AE$452+$AE$453+$AE$454+$AE$455+$AE$456+$AE$457)/6,4)</f>
        <v>3.0470999999999999</v>
      </c>
    </row>
    <row r="455" spans="1:33" ht="21.9" customHeight="1" x14ac:dyDescent="0.35">
      <c r="A455" s="951"/>
      <c r="F455" s="951"/>
      <c r="G455" s="951"/>
      <c r="I455" s="1014"/>
      <c r="K455" s="1014"/>
      <c r="L455" s="1041"/>
      <c r="M455" s="994">
        <f t="shared" si="62"/>
        <v>150</v>
      </c>
      <c r="N455" s="831"/>
      <c r="O455" s="877">
        <f t="shared" si="63"/>
        <v>22</v>
      </c>
      <c r="P455" s="1042"/>
      <c r="Q455" s="1030">
        <f>V306</f>
        <v>117299.99999999999</v>
      </c>
      <c r="R455" s="831"/>
      <c r="S455" s="882">
        <f t="shared" si="64"/>
        <v>2580600</v>
      </c>
      <c r="T455" s="831"/>
      <c r="U455" s="1032">
        <f t="shared" si="65"/>
        <v>1.7203999999999999</v>
      </c>
      <c r="V455" s="1043"/>
      <c r="W455" s="1041"/>
      <c r="X455" s="1044">
        <f>B23</f>
        <v>80</v>
      </c>
      <c r="Y455" s="877">
        <f>E23</f>
        <v>20</v>
      </c>
      <c r="Z455" s="1030">
        <f>$AG$251</f>
        <v>113000</v>
      </c>
      <c r="AA455" s="1045">
        <f>Y455*Z455</f>
        <v>2260000</v>
      </c>
      <c r="AB455" s="1046">
        <f>ROUND((AA455*100)/(X455*1000000),4)</f>
        <v>2.8250000000000002</v>
      </c>
      <c r="AC455" s="1047"/>
      <c r="AD455" s="882" t="s">
        <v>741</v>
      </c>
      <c r="AE455" s="1048">
        <f>AB455</f>
        <v>2.8250000000000002</v>
      </c>
      <c r="AF455" s="1039"/>
      <c r="AG455" s="1040">
        <f>ROUND(($AE$452+$AE$453+$AE$454+$AE$455+$AE$456+$AE$457)/6,4)</f>
        <v>3.0470999999999999</v>
      </c>
    </row>
    <row r="456" spans="1:33" ht="21.9" customHeight="1" x14ac:dyDescent="0.35">
      <c r="A456" s="951"/>
      <c r="F456" s="951"/>
      <c r="G456" s="951"/>
      <c r="I456" s="1014"/>
      <c r="K456" s="1014"/>
      <c r="L456" s="1041"/>
      <c r="M456" s="994">
        <f t="shared" si="62"/>
        <v>200</v>
      </c>
      <c r="N456" s="831"/>
      <c r="O456" s="877">
        <f t="shared" si="63"/>
        <v>24</v>
      </c>
      <c r="P456" s="1042"/>
      <c r="Q456" s="1030">
        <f>V323</f>
        <v>141508.33333333331</v>
      </c>
      <c r="R456" s="831"/>
      <c r="S456" s="882">
        <f t="shared" si="64"/>
        <v>3396200</v>
      </c>
      <c r="T456" s="831"/>
      <c r="U456" s="1032">
        <f t="shared" si="65"/>
        <v>1.6980999999999999</v>
      </c>
      <c r="V456" s="1043"/>
      <c r="W456" s="1041"/>
      <c r="X456" s="1044">
        <f>B24</f>
        <v>90</v>
      </c>
      <c r="Y456" s="877">
        <f>E24</f>
        <v>20</v>
      </c>
      <c r="Z456" s="1030">
        <f>$AG$270</f>
        <v>113000</v>
      </c>
      <c r="AA456" s="1045">
        <f>Y456*Z456</f>
        <v>2260000</v>
      </c>
      <c r="AB456" s="1046">
        <f>ROUND((AA456*100)/(X456*1000000),4)</f>
        <v>2.5110999999999999</v>
      </c>
      <c r="AC456" s="1047"/>
      <c r="AD456" s="882" t="s">
        <v>741</v>
      </c>
      <c r="AE456" s="1048">
        <f>AB456</f>
        <v>2.5110999999999999</v>
      </c>
      <c r="AF456" s="1039"/>
      <c r="AG456" s="1040">
        <f>ROUND(($AE$452+$AE$453+$AE$454+$AE$455+$AE$456+$AE$457)/6,4)</f>
        <v>3.0470999999999999</v>
      </c>
    </row>
    <row r="457" spans="1:33" ht="21.9" customHeight="1" x14ac:dyDescent="0.35">
      <c r="A457" s="951"/>
      <c r="F457" s="951"/>
      <c r="G457" s="951"/>
      <c r="I457" s="1014"/>
      <c r="K457" s="1014"/>
      <c r="L457" s="1041"/>
      <c r="M457" s="994">
        <f t="shared" si="62"/>
        <v>250</v>
      </c>
      <c r="N457" s="831"/>
      <c r="O457" s="877">
        <f t="shared" si="63"/>
        <v>28</v>
      </c>
      <c r="P457" s="1042"/>
      <c r="Q457" s="1030">
        <f>V342</f>
        <v>126258.92857142857</v>
      </c>
      <c r="R457" s="831"/>
      <c r="S457" s="882">
        <f t="shared" si="64"/>
        <v>3535250</v>
      </c>
      <c r="T457" s="831"/>
      <c r="U457" s="1032">
        <f t="shared" si="65"/>
        <v>1.4140999999999999</v>
      </c>
      <c r="V457" s="1043"/>
      <c r="W457" s="1041"/>
      <c r="X457" s="1044">
        <f>B25</f>
        <v>100</v>
      </c>
      <c r="Y457" s="877">
        <f>E25</f>
        <v>20</v>
      </c>
      <c r="Z457" s="1030">
        <f>$AG$287</f>
        <v>113000</v>
      </c>
      <c r="AA457" s="1045">
        <f>Y457*Z457</f>
        <v>2260000</v>
      </c>
      <c r="AB457" s="1046">
        <f>ROUND((AA457*100)/(X457*1000000),4)</f>
        <v>2.2599999999999998</v>
      </c>
      <c r="AC457" s="1047"/>
      <c r="AD457" s="882" t="s">
        <v>741</v>
      </c>
      <c r="AE457" s="1048">
        <f>AB457</f>
        <v>2.2599999999999998</v>
      </c>
      <c r="AF457" s="1039"/>
      <c r="AG457" s="1040">
        <f>ROUND(($AE$452+$AE$453+$AE$454+$AE$455+$AE$456+$AE$457)/6,4)</f>
        <v>3.0470999999999999</v>
      </c>
    </row>
    <row r="458" spans="1:33" ht="21.9" customHeight="1" x14ac:dyDescent="0.35">
      <c r="A458" s="951"/>
      <c r="F458" s="951"/>
      <c r="G458" s="951"/>
      <c r="I458" s="1014"/>
      <c r="K458" s="1014"/>
      <c r="L458" s="1041"/>
      <c r="M458" s="994">
        <f t="shared" si="62"/>
        <v>300</v>
      </c>
      <c r="N458" s="831"/>
      <c r="O458" s="877">
        <f t="shared" si="63"/>
        <v>30</v>
      </c>
      <c r="P458" s="1042"/>
      <c r="Q458" s="1030">
        <f>V359</f>
        <v>139370</v>
      </c>
      <c r="R458" s="831"/>
      <c r="S458" s="882">
        <f t="shared" si="64"/>
        <v>4181100</v>
      </c>
      <c r="T458" s="831"/>
      <c r="U458" s="1032">
        <f t="shared" si="65"/>
        <v>1.3936999999999999</v>
      </c>
      <c r="V458" s="1043"/>
      <c r="W458" s="1041"/>
      <c r="X458" s="1044" t="s">
        <v>741</v>
      </c>
      <c r="Y458" s="877" t="s">
        <v>741</v>
      </c>
      <c r="Z458" s="1030" t="s">
        <v>741</v>
      </c>
      <c r="AA458" s="1045" t="s">
        <v>741</v>
      </c>
      <c r="AB458" s="1046" t="s">
        <v>741</v>
      </c>
      <c r="AC458" s="1045">
        <f>Z459</f>
        <v>232000</v>
      </c>
      <c r="AD458" s="1030">
        <f>Y457*AC458</f>
        <v>4640000</v>
      </c>
      <c r="AE458" s="1046">
        <f>ROUND((AD458*100)/(X457*1000000),4)</f>
        <v>4.6399999999999997</v>
      </c>
      <c r="AF458" s="1039"/>
      <c r="AG458" s="1040" t="s">
        <v>741</v>
      </c>
    </row>
    <row r="459" spans="1:33" ht="21.9" customHeight="1" x14ac:dyDescent="0.35">
      <c r="K459" s="1001"/>
      <c r="L459" s="1041"/>
      <c r="M459" s="994">
        <f t="shared" si="62"/>
        <v>350</v>
      </c>
      <c r="N459" s="831"/>
      <c r="O459" s="877">
        <f t="shared" si="63"/>
        <v>32</v>
      </c>
      <c r="P459" s="1042"/>
      <c r="Q459" s="1030">
        <f>V378</f>
        <v>148170.3125</v>
      </c>
      <c r="R459" s="831"/>
      <c r="S459" s="882">
        <f t="shared" si="64"/>
        <v>4741450</v>
      </c>
      <c r="T459" s="831"/>
      <c r="U459" s="1032">
        <f t="shared" si="65"/>
        <v>1.3547</v>
      </c>
      <c r="V459" s="1043"/>
      <c r="W459" s="1041"/>
      <c r="X459" s="1044">
        <f>B26</f>
        <v>150</v>
      </c>
      <c r="Y459" s="877">
        <f>E26</f>
        <v>22</v>
      </c>
      <c r="Z459" s="1030">
        <f>$AG$306</f>
        <v>232000</v>
      </c>
      <c r="AA459" s="1045">
        <f>Y459*Z459</f>
        <v>5104000</v>
      </c>
      <c r="AB459" s="1046">
        <f>ROUND((AA459*100)/(X459*1000000),4)</f>
        <v>3.4026999999999998</v>
      </c>
      <c r="AC459" s="1047"/>
      <c r="AD459" s="882" t="s">
        <v>741</v>
      </c>
      <c r="AE459" s="1048">
        <f>AB459</f>
        <v>3.4026999999999998</v>
      </c>
      <c r="AF459" s="1039"/>
      <c r="AG459" s="1040">
        <f>ROUND(($AE$458+$AE$459+$AE$460+$AE$461+$AE$462)/5,4)</f>
        <v>3.149</v>
      </c>
    </row>
    <row r="460" spans="1:33" ht="21.9" customHeight="1" x14ac:dyDescent="0.35">
      <c r="L460" s="1041"/>
      <c r="M460" s="994">
        <f t="shared" si="62"/>
        <v>400</v>
      </c>
      <c r="N460" s="831"/>
      <c r="O460" s="877">
        <f t="shared" si="63"/>
        <v>36</v>
      </c>
      <c r="P460" s="1042"/>
      <c r="Q460" s="1030">
        <f>V395</f>
        <v>143688.88888888888</v>
      </c>
      <c r="R460" s="831"/>
      <c r="S460" s="882">
        <f t="shared" si="64"/>
        <v>5172800</v>
      </c>
      <c r="T460" s="831"/>
      <c r="U460" s="1032">
        <f t="shared" si="65"/>
        <v>1.2931999999999999</v>
      </c>
      <c r="V460" s="1043"/>
      <c r="W460" s="1041"/>
      <c r="X460" s="1044">
        <f>B27</f>
        <v>200</v>
      </c>
      <c r="Y460" s="877">
        <f>E27</f>
        <v>24</v>
      </c>
      <c r="Z460" s="1030">
        <f>$AG$323</f>
        <v>232000</v>
      </c>
      <c r="AA460" s="1045">
        <f>Y460*Z460</f>
        <v>5568000</v>
      </c>
      <c r="AB460" s="1046">
        <f>ROUND((AA460*100)/(X460*1000000),4)</f>
        <v>2.7839999999999998</v>
      </c>
      <c r="AC460" s="1047"/>
      <c r="AD460" s="882" t="s">
        <v>741</v>
      </c>
      <c r="AE460" s="1048">
        <f>AB460</f>
        <v>2.7839999999999998</v>
      </c>
      <c r="AF460" s="1039"/>
      <c r="AG460" s="1040">
        <f>ROUND(($AE$458+$AE$459+$AE$460+$AE$461+$AE$462)/5,4)</f>
        <v>3.149</v>
      </c>
    </row>
    <row r="461" spans="1:33" ht="21.9" customHeight="1" x14ac:dyDescent="0.35">
      <c r="L461" s="1041"/>
      <c r="M461" s="994">
        <f t="shared" si="62"/>
        <v>500</v>
      </c>
      <c r="N461" s="831"/>
      <c r="O461" s="877">
        <f t="shared" si="63"/>
        <v>36</v>
      </c>
      <c r="P461" s="1042"/>
      <c r="Q461" s="1030">
        <f>V414</f>
        <v>179611.11111111112</v>
      </c>
      <c r="R461" s="831"/>
      <c r="S461" s="882">
        <f t="shared" si="64"/>
        <v>6466000</v>
      </c>
      <c r="T461" s="831"/>
      <c r="U461" s="1032">
        <f t="shared" si="65"/>
        <v>1.2931999999999999</v>
      </c>
      <c r="V461" s="1043"/>
      <c r="W461" s="1041"/>
      <c r="X461" s="1044">
        <f>B28</f>
        <v>250</v>
      </c>
      <c r="Y461" s="877">
        <f>E28</f>
        <v>28</v>
      </c>
      <c r="Z461" s="1030">
        <f>$AG$342</f>
        <v>232000</v>
      </c>
      <c r="AA461" s="1045">
        <f>Y461*Z461</f>
        <v>6496000</v>
      </c>
      <c r="AB461" s="1046">
        <f>ROUND((AA461*100)/(X461*1000000),4)</f>
        <v>2.5983999999999998</v>
      </c>
      <c r="AC461" s="1047"/>
      <c r="AD461" s="882" t="s">
        <v>741</v>
      </c>
      <c r="AE461" s="1048">
        <f>AB461</f>
        <v>2.5983999999999998</v>
      </c>
      <c r="AF461" s="1039"/>
      <c r="AG461" s="1040">
        <f>ROUND(($AE$458+$AE$459+$AE$460+$AE$461+$AE$462)/5,4)</f>
        <v>3.149</v>
      </c>
    </row>
    <row r="462" spans="1:33" ht="21.9" customHeight="1" x14ac:dyDescent="0.35">
      <c r="L462" s="1051" t="str">
        <f>A33</f>
        <v>&gt;</v>
      </c>
      <c r="M462" s="1052">
        <f t="shared" si="62"/>
        <v>1000</v>
      </c>
      <c r="N462" s="924"/>
      <c r="O462" s="1053">
        <f t="shared" si="63"/>
        <v>40</v>
      </c>
      <c r="P462" s="1054"/>
      <c r="Q462" s="1055">
        <f>V431</f>
        <v>298275</v>
      </c>
      <c r="R462" s="924"/>
      <c r="S462" s="1056">
        <f t="shared" si="64"/>
        <v>11931000</v>
      </c>
      <c r="T462" s="924"/>
      <c r="U462" s="1057">
        <f t="shared" si="65"/>
        <v>1.1931</v>
      </c>
      <c r="V462" s="1058"/>
      <c r="W462" s="1041"/>
      <c r="X462" s="1044">
        <f>B29</f>
        <v>300</v>
      </c>
      <c r="Y462" s="877">
        <f>E29</f>
        <v>30</v>
      </c>
      <c r="Z462" s="1030">
        <f>$AG$359</f>
        <v>232000</v>
      </c>
      <c r="AA462" s="1045">
        <f>Y462*Z462</f>
        <v>6960000</v>
      </c>
      <c r="AB462" s="1046">
        <f>ROUND((AA462*100)/(X462*1000000),4)</f>
        <v>2.3199999999999998</v>
      </c>
      <c r="AC462" s="1047"/>
      <c r="AD462" s="882" t="s">
        <v>741</v>
      </c>
      <c r="AE462" s="1048">
        <f>AB462</f>
        <v>2.3199999999999998</v>
      </c>
      <c r="AF462" s="1039"/>
      <c r="AG462" s="1040">
        <f>ROUND(($AE$458+$AE$459+$AE$460+$AE$461+$AE$462)/5,4)</f>
        <v>3.149</v>
      </c>
    </row>
    <row r="463" spans="1:33" ht="21.9" customHeight="1" x14ac:dyDescent="0.35">
      <c r="W463" s="1041"/>
      <c r="X463" s="1044" t="s">
        <v>741</v>
      </c>
      <c r="Y463" s="877" t="s">
        <v>741</v>
      </c>
      <c r="Z463" s="1030" t="s">
        <v>741</v>
      </c>
      <c r="AA463" s="1045" t="s">
        <v>741</v>
      </c>
      <c r="AB463" s="1046" t="s">
        <v>741</v>
      </c>
      <c r="AC463" s="1045">
        <f>Z464</f>
        <v>350000</v>
      </c>
      <c r="AD463" s="1030">
        <f>Y462*AC463</f>
        <v>10500000</v>
      </c>
      <c r="AE463" s="1046">
        <f>ROUND((AD463*100)/(X462*1000000),4)</f>
        <v>3.5</v>
      </c>
      <c r="AF463" s="1039"/>
      <c r="AG463" s="1040"/>
    </row>
    <row r="464" spans="1:33" ht="21.9" customHeight="1" x14ac:dyDescent="0.35">
      <c r="W464" s="1041"/>
      <c r="X464" s="1044">
        <f>B30</f>
        <v>350</v>
      </c>
      <c r="Y464" s="877">
        <f>E30</f>
        <v>32</v>
      </c>
      <c r="Z464" s="1030">
        <f>$AG$378</f>
        <v>350000</v>
      </c>
      <c r="AA464" s="1045">
        <f>Y464*Z464</f>
        <v>11200000</v>
      </c>
      <c r="AB464" s="1046">
        <f>ROUND((AA464*100)/(X464*1000000),4)</f>
        <v>3.2</v>
      </c>
      <c r="AC464" s="1047"/>
      <c r="AD464" s="882" t="s">
        <v>741</v>
      </c>
      <c r="AE464" s="1048">
        <f>AB464</f>
        <v>3.2</v>
      </c>
      <c r="AF464" s="1039"/>
      <c r="AG464" s="1040">
        <f>ROUND(($AE$463+$AE$464+$AE$465+$AE$466)/4,4)</f>
        <v>3.0924999999999998</v>
      </c>
    </row>
    <row r="465" spans="23:33" ht="21.9" customHeight="1" x14ac:dyDescent="0.35">
      <c r="W465" s="1041"/>
      <c r="X465" s="1044">
        <f>B31</f>
        <v>400</v>
      </c>
      <c r="Y465" s="877">
        <f>E31</f>
        <v>36</v>
      </c>
      <c r="Z465" s="1030">
        <f>$AG$395</f>
        <v>350000</v>
      </c>
      <c r="AA465" s="1045">
        <f>Y465*Z465</f>
        <v>12600000</v>
      </c>
      <c r="AB465" s="1046">
        <f>ROUND((AA465*100)/(X465*1000000),4)</f>
        <v>3.15</v>
      </c>
      <c r="AC465" s="1047"/>
      <c r="AD465" s="882" t="s">
        <v>741</v>
      </c>
      <c r="AE465" s="1048">
        <f>AB465</f>
        <v>3.15</v>
      </c>
      <c r="AF465" s="1039"/>
      <c r="AG465" s="1040">
        <f>ROUND(($AE$463+$AE$464+$AE$465+$AE$466)/4,4)</f>
        <v>3.0924999999999998</v>
      </c>
    </row>
    <row r="466" spans="23:33" ht="21.9" customHeight="1" x14ac:dyDescent="0.35">
      <c r="W466" s="1041"/>
      <c r="X466" s="1044">
        <f>B32</f>
        <v>500</v>
      </c>
      <c r="Y466" s="877">
        <f>E32</f>
        <v>36</v>
      </c>
      <c r="Z466" s="1030">
        <f>$AG$414</f>
        <v>350000</v>
      </c>
      <c r="AA466" s="1045">
        <f>Y466*Z466</f>
        <v>12600000</v>
      </c>
      <c r="AB466" s="1046">
        <f>ROUND((AA466*100)/(X466*1000000),4)</f>
        <v>2.52</v>
      </c>
      <c r="AC466" s="1047"/>
      <c r="AD466" s="882" t="s">
        <v>741</v>
      </c>
      <c r="AE466" s="1048">
        <f>AB466</f>
        <v>2.52</v>
      </c>
      <c r="AF466" s="1039"/>
      <c r="AG466" s="1040">
        <f>ROUND(($AE$463+$AE$464+$AE$465+$AE$466)/4,4)</f>
        <v>3.0924999999999998</v>
      </c>
    </row>
    <row r="467" spans="23:33" ht="21.9" customHeight="1" x14ac:dyDescent="0.35">
      <c r="W467" s="1041"/>
      <c r="X467" s="1044" t="s">
        <v>741</v>
      </c>
      <c r="Y467" s="877" t="s">
        <v>741</v>
      </c>
      <c r="Z467" s="1045" t="s">
        <v>741</v>
      </c>
      <c r="AA467" s="1045" t="s">
        <v>741</v>
      </c>
      <c r="AB467" s="1046" t="s">
        <v>741</v>
      </c>
      <c r="AC467" s="1045">
        <f>Z468</f>
        <v>454000</v>
      </c>
      <c r="AD467" s="1030">
        <f>Y466*AC467</f>
        <v>16344000</v>
      </c>
      <c r="AE467" s="1046">
        <f>ROUND((AD467*100)/(X466*1000000),4)</f>
        <v>3.2688000000000001</v>
      </c>
      <c r="AF467" s="1039"/>
      <c r="AG467" s="1040"/>
    </row>
    <row r="468" spans="23:33" ht="21.9" customHeight="1" x14ac:dyDescent="0.35">
      <c r="W468" s="1051" t="str">
        <f>$L$462</f>
        <v>&gt;</v>
      </c>
      <c r="X468" s="1059">
        <f>B33</f>
        <v>1000</v>
      </c>
      <c r="Y468" s="1053">
        <f>E33</f>
        <v>40</v>
      </c>
      <c r="Z468" s="1055">
        <f>$AG$431</f>
        <v>454000</v>
      </c>
      <c r="AA468" s="1060">
        <f>Y468*Z468</f>
        <v>18160000</v>
      </c>
      <c r="AB468" s="1061">
        <f>ROUND((AA468*100)/(X468*1000000),4)</f>
        <v>1.8160000000000001</v>
      </c>
      <c r="AC468" s="1062"/>
      <c r="AD468" s="1063" t="s">
        <v>741</v>
      </c>
      <c r="AE468" s="1061">
        <f>AB468</f>
        <v>1.8160000000000001</v>
      </c>
      <c r="AF468" s="1064"/>
      <c r="AG468" s="1065">
        <f>ROUND(($AE$467+$AE$468)/2,4)</f>
        <v>2.5424000000000002</v>
      </c>
    </row>
    <row r="469" spans="23:33" ht="21.9" customHeight="1" x14ac:dyDescent="0.35"/>
    <row r="470" spans="23:33" ht="21.9" customHeight="1" x14ac:dyDescent="0.35"/>
    <row r="471" spans="23:33" ht="21.9" customHeight="1" x14ac:dyDescent="0.35"/>
    <row r="472" spans="23:33" ht="21.9" customHeight="1" x14ac:dyDescent="0.35"/>
    <row r="473" spans="23:33" ht="21.9" customHeight="1" x14ac:dyDescent="0.35"/>
    <row r="474" spans="23:33" ht="21.9" customHeight="1" x14ac:dyDescent="0.35"/>
    <row r="475" spans="23:33" ht="21.9" customHeight="1" x14ac:dyDescent="0.35"/>
    <row r="476" spans="23:33" ht="21.9" customHeight="1" x14ac:dyDescent="0.35"/>
    <row r="477" spans="23:33" ht="21.9" customHeight="1" x14ac:dyDescent="0.35"/>
    <row r="478" spans="23:33" ht="21.9" customHeight="1" x14ac:dyDescent="0.35"/>
    <row r="479" spans="23:33" ht="21.9" customHeight="1" x14ac:dyDescent="0.35"/>
    <row r="480" spans="23:33" ht="21.9" customHeight="1" x14ac:dyDescent="0.35"/>
    <row r="481" ht="21.9" customHeight="1" x14ac:dyDescent="0.35"/>
    <row r="482" ht="21.9" customHeight="1" x14ac:dyDescent="0.35"/>
    <row r="483" ht="21.9" customHeight="1" x14ac:dyDescent="0.35"/>
    <row r="484" ht="21.9" customHeight="1" x14ac:dyDescent="0.35"/>
    <row r="485" ht="21.9" customHeight="1" x14ac:dyDescent="0.35"/>
    <row r="486" ht="21.9" customHeight="1" x14ac:dyDescent="0.35"/>
    <row r="487" ht="21.9" customHeight="1" x14ac:dyDescent="0.35"/>
    <row r="488" ht="21.9" customHeight="1" x14ac:dyDescent="0.35"/>
    <row r="489" ht="21.9" customHeight="1" x14ac:dyDescent="0.35"/>
    <row r="490" ht="21.9" customHeight="1" x14ac:dyDescent="0.35"/>
    <row r="491" ht="21.9" customHeight="1" x14ac:dyDescent="0.35"/>
    <row r="492" ht="21.9" customHeight="1" x14ac:dyDescent="0.35"/>
    <row r="493" ht="19.5" customHeight="1" x14ac:dyDescent="0.35"/>
    <row r="494" ht="19.5" customHeight="1" x14ac:dyDescent="0.35"/>
    <row r="495" ht="19.5" customHeight="1" x14ac:dyDescent="0.35"/>
    <row r="496" ht="20.100000000000001" customHeight="1" x14ac:dyDescent="0.35"/>
    <row r="497" ht="20.100000000000001" customHeight="1" x14ac:dyDescent="0.35"/>
    <row r="498" ht="20.100000000000001" customHeight="1" x14ac:dyDescent="0.35"/>
    <row r="499" ht="20.100000000000001" customHeight="1" x14ac:dyDescent="0.35"/>
    <row r="500" ht="20.100000000000001" customHeight="1" x14ac:dyDescent="0.35"/>
    <row r="501" ht="20.100000000000001" customHeight="1" x14ac:dyDescent="0.35"/>
    <row r="502" ht="20.100000000000001" customHeight="1" x14ac:dyDescent="0.35"/>
    <row r="503" ht="20.100000000000001" customHeight="1" x14ac:dyDescent="0.35"/>
    <row r="504" ht="20.100000000000001" customHeight="1" x14ac:dyDescent="0.35"/>
    <row r="505" ht="20.100000000000001" customHeight="1" x14ac:dyDescent="0.35"/>
    <row r="506" ht="20.100000000000001" customHeight="1" x14ac:dyDescent="0.35"/>
    <row r="507" ht="20.100000000000001" customHeight="1" x14ac:dyDescent="0.35"/>
    <row r="508" ht="20.100000000000001" customHeight="1" x14ac:dyDescent="0.35"/>
    <row r="509" ht="20.100000000000001" customHeight="1" x14ac:dyDescent="0.35"/>
    <row r="510" ht="20.100000000000001" customHeight="1" x14ac:dyDescent="0.35"/>
    <row r="511" ht="20.100000000000001" customHeight="1" x14ac:dyDescent="0.35"/>
    <row r="512" ht="20.100000000000001" customHeight="1" x14ac:dyDescent="0.35"/>
    <row r="513" ht="20.100000000000001" customHeight="1" x14ac:dyDescent="0.35"/>
    <row r="514" ht="20.100000000000001" customHeight="1" x14ac:dyDescent="0.35"/>
    <row r="515" ht="20.100000000000001" customHeight="1" x14ac:dyDescent="0.35"/>
    <row r="516" ht="20.100000000000001" customHeight="1" x14ac:dyDescent="0.35"/>
  </sheetData>
  <phoneticPr fontId="27" type="noConversion"/>
  <pageMargins left="0.66" right="0.34" top="0.56999999999999995" bottom="0.61" header="0.19685039370078741" footer="0.4"/>
  <pageSetup paperSize="9" orientation="portrait" horizontalDpi="4294967293" r:id="rId1"/>
  <headerFooter alignWithMargins="0">
    <oddFooter xml:space="preserve">&amp;R&amp;10งานก่อสร้างอาคาร
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L8" sqref="L8"/>
    </sheetView>
  </sheetViews>
  <sheetFormatPr defaultColWidth="9.125" defaultRowHeight="18" x14ac:dyDescent="0.35"/>
  <cols>
    <col min="1" max="1" width="3.75" style="760" customWidth="1"/>
    <col min="2" max="2" width="6.25" style="760" customWidth="1"/>
    <col min="3" max="6" width="10.75" style="760" customWidth="1"/>
    <col min="7" max="7" width="16.75" style="760" customWidth="1"/>
    <col min="8" max="9" width="9.125" style="760"/>
    <col min="10" max="10" width="10.75" style="760" customWidth="1"/>
    <col min="11" max="16384" width="9.125" style="760"/>
  </cols>
  <sheetData>
    <row r="1" spans="1:10" ht="21.75" customHeight="1" x14ac:dyDescent="0.35">
      <c r="A1" s="759" t="s">
        <v>615</v>
      </c>
      <c r="B1" s="759"/>
      <c r="C1" s="759"/>
      <c r="D1" s="759"/>
      <c r="E1" s="759"/>
      <c r="F1" s="759"/>
      <c r="G1" s="759"/>
      <c r="H1" s="759"/>
      <c r="I1" s="759"/>
      <c r="J1" s="759"/>
    </row>
    <row r="2" spans="1:10" ht="21.75" customHeight="1" x14ac:dyDescent="0.35">
      <c r="A2" s="761"/>
      <c r="B2" s="761"/>
      <c r="C2" s="761"/>
      <c r="D2" s="761"/>
      <c r="E2" s="761"/>
      <c r="F2" s="761"/>
      <c r="G2" s="761"/>
      <c r="H2" s="761"/>
      <c r="I2" s="761"/>
      <c r="J2" s="761"/>
    </row>
    <row r="3" spans="1:10" ht="22.8" x14ac:dyDescent="0.4">
      <c r="A3" s="762" t="s">
        <v>616</v>
      </c>
      <c r="B3" s="762"/>
      <c r="C3" s="762"/>
      <c r="D3" s="762"/>
      <c r="E3" s="762"/>
      <c r="F3" s="762"/>
      <c r="G3" s="762"/>
      <c r="H3" s="762"/>
      <c r="I3" s="762"/>
      <c r="J3" s="762"/>
    </row>
    <row r="4" spans="1:10" ht="21.75" customHeight="1" x14ac:dyDescent="0.4">
      <c r="A4" s="763"/>
      <c r="B4" s="763"/>
      <c r="C4" s="763"/>
      <c r="D4" s="763"/>
      <c r="E4" s="763"/>
      <c r="F4" s="763"/>
      <c r="G4" s="763"/>
      <c r="H4" s="763"/>
      <c r="I4" s="763"/>
      <c r="J4" s="763"/>
    </row>
    <row r="5" spans="1:10" ht="21.9" customHeight="1" x14ac:dyDescent="0.35">
      <c r="B5" s="760" t="s">
        <v>651</v>
      </c>
      <c r="D5" s="760">
        <f>'FACTOR F'!I4</f>
        <v>6</v>
      </c>
      <c r="E5" s="760" t="s">
        <v>617</v>
      </c>
      <c r="G5" s="760" t="s">
        <v>618</v>
      </c>
      <c r="H5" s="760">
        <f>'FACTOR F'!D4</f>
        <v>0</v>
      </c>
      <c r="I5" s="760" t="s">
        <v>736</v>
      </c>
    </row>
    <row r="6" spans="1:10" ht="21.9" customHeight="1" x14ac:dyDescent="0.35">
      <c r="B6" s="760" t="s">
        <v>619</v>
      </c>
      <c r="D6" s="760">
        <v>3</v>
      </c>
      <c r="E6" s="760" t="s">
        <v>620</v>
      </c>
      <c r="G6" s="760" t="s">
        <v>621</v>
      </c>
      <c r="H6" s="760">
        <f>'FACTOR F'!D5</f>
        <v>0</v>
      </c>
      <c r="I6" s="760" t="s">
        <v>736</v>
      </c>
    </row>
    <row r="7" spans="1:10" ht="21.9" customHeight="1" x14ac:dyDescent="0.35">
      <c r="B7" s="764" t="s">
        <v>622</v>
      </c>
      <c r="C7" s="765" t="s">
        <v>756</v>
      </c>
    </row>
    <row r="8" spans="1:10" ht="21.9" customHeight="1" x14ac:dyDescent="0.35">
      <c r="B8" s="764"/>
      <c r="C8" s="765"/>
    </row>
    <row r="9" spans="1:10" ht="21.9" customHeight="1" x14ac:dyDescent="0.35">
      <c r="A9" s="766" t="s">
        <v>597</v>
      </c>
      <c r="B9" s="767"/>
      <c r="C9" s="768" t="s">
        <v>518</v>
      </c>
      <c r="D9" s="768" t="s">
        <v>757</v>
      </c>
      <c r="E9" s="768" t="s">
        <v>758</v>
      </c>
      <c r="F9" s="768" t="s">
        <v>759</v>
      </c>
      <c r="G9" s="768" t="s">
        <v>760</v>
      </c>
      <c r="H9" s="769" t="s">
        <v>761</v>
      </c>
      <c r="I9" s="770"/>
      <c r="J9" s="771"/>
    </row>
    <row r="10" spans="1:10" ht="21.9" customHeight="1" x14ac:dyDescent="0.35">
      <c r="A10" s="772"/>
      <c r="B10" s="773"/>
      <c r="C10" s="774"/>
      <c r="D10" s="774" t="s">
        <v>762</v>
      </c>
      <c r="E10" s="774" t="s">
        <v>763</v>
      </c>
      <c r="F10" s="774" t="s">
        <v>651</v>
      </c>
      <c r="G10" s="774" t="s">
        <v>478</v>
      </c>
      <c r="H10" s="775"/>
      <c r="I10" s="776"/>
      <c r="J10" s="777"/>
    </row>
    <row r="11" spans="1:10" ht="21.9" customHeight="1" x14ac:dyDescent="0.35">
      <c r="A11" s="778" t="s">
        <v>660</v>
      </c>
      <c r="B11" s="779"/>
      <c r="C11" s="780" t="s">
        <v>519</v>
      </c>
      <c r="D11" s="780" t="s">
        <v>650</v>
      </c>
      <c r="E11" s="780" t="s">
        <v>650</v>
      </c>
      <c r="F11" s="780" t="s">
        <v>652</v>
      </c>
      <c r="G11" s="780" t="s">
        <v>650</v>
      </c>
      <c r="H11" s="781"/>
      <c r="I11" s="782"/>
      <c r="J11" s="783"/>
    </row>
    <row r="12" spans="1:10" ht="21.9" customHeight="1" x14ac:dyDescent="0.35">
      <c r="A12" s="784" t="s">
        <v>267</v>
      </c>
      <c r="B12" s="785">
        <f>'FACTOR F'!B11</f>
        <v>0.5</v>
      </c>
      <c r="C12" s="786">
        <f>' อำนวยการ 1'!E10</f>
        <v>6</v>
      </c>
      <c r="D12" s="787">
        <f t="shared" ref="D12:D35" si="0">$H$5</f>
        <v>0</v>
      </c>
      <c r="E12" s="787">
        <f t="shared" ref="E12:E35" si="1">$H$6</f>
        <v>0</v>
      </c>
      <c r="F12" s="786">
        <f t="shared" ref="F12:F35" si="2">$D$5</f>
        <v>6</v>
      </c>
      <c r="G12" s="788">
        <f t="shared" ref="G12:G35" si="3">-F12/12*(E12/100+(C12+$D$6-1)*D12/100-(D12+E12)/100*(C12+1)/2-($D$6-1))</f>
        <v>1</v>
      </c>
      <c r="J12" s="789"/>
    </row>
    <row r="13" spans="1:10" ht="21.9" customHeight="1" x14ac:dyDescent="0.35">
      <c r="A13" s="790"/>
      <c r="B13" s="791">
        <f>'FACTOR F'!B12</f>
        <v>1</v>
      </c>
      <c r="C13" s="792">
        <f>' อำนวยการ 1'!E11</f>
        <v>6</v>
      </c>
      <c r="D13" s="793">
        <f t="shared" si="0"/>
        <v>0</v>
      </c>
      <c r="E13" s="793">
        <f t="shared" si="1"/>
        <v>0</v>
      </c>
      <c r="F13" s="792">
        <f t="shared" si="2"/>
        <v>6</v>
      </c>
      <c r="G13" s="794">
        <f t="shared" si="3"/>
        <v>1</v>
      </c>
      <c r="H13" s="795" t="s">
        <v>764</v>
      </c>
      <c r="J13" s="796"/>
    </row>
    <row r="14" spans="1:10" ht="21.9" customHeight="1" x14ac:dyDescent="0.35">
      <c r="A14" s="790"/>
      <c r="B14" s="791">
        <f>'FACTOR F'!B13</f>
        <v>2</v>
      </c>
      <c r="C14" s="792">
        <f>' อำนวยการ 1'!E12</f>
        <v>9</v>
      </c>
      <c r="D14" s="793">
        <f t="shared" si="0"/>
        <v>0</v>
      </c>
      <c r="E14" s="793">
        <f t="shared" si="1"/>
        <v>0</v>
      </c>
      <c r="F14" s="792">
        <f t="shared" si="2"/>
        <v>6</v>
      </c>
      <c r="G14" s="794">
        <f t="shared" si="3"/>
        <v>1</v>
      </c>
      <c r="H14" s="797" t="s">
        <v>765</v>
      </c>
      <c r="I14" s="798" t="s">
        <v>30</v>
      </c>
      <c r="J14" s="796"/>
    </row>
    <row r="15" spans="1:10" ht="21.9" customHeight="1" x14ac:dyDescent="0.35">
      <c r="A15" s="790"/>
      <c r="B15" s="791">
        <f>'FACTOR F'!B14</f>
        <v>5</v>
      </c>
      <c r="C15" s="792">
        <f>' อำนวยการ 1'!E13</f>
        <v>12</v>
      </c>
      <c r="D15" s="793">
        <f t="shared" si="0"/>
        <v>0</v>
      </c>
      <c r="E15" s="793">
        <f t="shared" si="1"/>
        <v>0</v>
      </c>
      <c r="F15" s="792">
        <f t="shared" si="2"/>
        <v>6</v>
      </c>
      <c r="G15" s="794">
        <f t="shared" si="3"/>
        <v>1</v>
      </c>
      <c r="H15" s="797" t="s">
        <v>31</v>
      </c>
      <c r="I15" s="798" t="s">
        <v>32</v>
      </c>
      <c r="J15" s="796"/>
    </row>
    <row r="16" spans="1:10" ht="21.9" customHeight="1" x14ac:dyDescent="0.35">
      <c r="A16" s="790"/>
      <c r="B16" s="791">
        <f>'FACTOR F'!B15</f>
        <v>10</v>
      </c>
      <c r="C16" s="792">
        <f>' อำนวยการ 1'!E14</f>
        <v>15</v>
      </c>
      <c r="D16" s="793">
        <f t="shared" si="0"/>
        <v>0</v>
      </c>
      <c r="E16" s="793">
        <f t="shared" si="1"/>
        <v>0</v>
      </c>
      <c r="F16" s="792">
        <f t="shared" si="2"/>
        <v>6</v>
      </c>
      <c r="G16" s="794">
        <f t="shared" si="3"/>
        <v>1</v>
      </c>
      <c r="H16" s="797" t="s">
        <v>33</v>
      </c>
      <c r="I16" s="798" t="s">
        <v>34</v>
      </c>
      <c r="J16" s="796"/>
    </row>
    <row r="17" spans="1:10" ht="21.9" customHeight="1" x14ac:dyDescent="0.35">
      <c r="A17" s="790"/>
      <c r="B17" s="791">
        <f>'FACTOR F'!B16</f>
        <v>15</v>
      </c>
      <c r="C17" s="792">
        <f>' อำนวยการ 1'!E15</f>
        <v>15</v>
      </c>
      <c r="D17" s="793">
        <f t="shared" si="0"/>
        <v>0</v>
      </c>
      <c r="E17" s="793">
        <f t="shared" si="1"/>
        <v>0</v>
      </c>
      <c r="F17" s="792">
        <f t="shared" si="2"/>
        <v>6</v>
      </c>
      <c r="G17" s="794">
        <f t="shared" si="3"/>
        <v>1</v>
      </c>
      <c r="H17" s="797" t="s">
        <v>35</v>
      </c>
      <c r="I17" s="798" t="s">
        <v>36</v>
      </c>
      <c r="J17" s="796"/>
    </row>
    <row r="18" spans="1:10" ht="21.9" customHeight="1" x14ac:dyDescent="0.35">
      <c r="A18" s="790"/>
      <c r="B18" s="791">
        <f>'FACTOR F'!B17</f>
        <v>20</v>
      </c>
      <c r="C18" s="792">
        <f>' อำนวยการ 1'!E16</f>
        <v>16</v>
      </c>
      <c r="D18" s="793">
        <f t="shared" si="0"/>
        <v>0</v>
      </c>
      <c r="E18" s="793">
        <f t="shared" si="1"/>
        <v>0</v>
      </c>
      <c r="F18" s="792">
        <f t="shared" si="2"/>
        <v>6</v>
      </c>
      <c r="G18" s="794">
        <f t="shared" si="3"/>
        <v>1</v>
      </c>
      <c r="H18" s="797" t="s">
        <v>37</v>
      </c>
      <c r="I18" s="798" t="s">
        <v>38</v>
      </c>
      <c r="J18" s="796"/>
    </row>
    <row r="19" spans="1:10" ht="21.9" customHeight="1" x14ac:dyDescent="0.35">
      <c r="A19" s="790"/>
      <c r="B19" s="791">
        <f>'FACTOR F'!B18</f>
        <v>25</v>
      </c>
      <c r="C19" s="792">
        <f>' อำนวยการ 1'!E17</f>
        <v>16</v>
      </c>
      <c r="D19" s="793">
        <f t="shared" si="0"/>
        <v>0</v>
      </c>
      <c r="E19" s="793">
        <f t="shared" si="1"/>
        <v>0</v>
      </c>
      <c r="F19" s="792">
        <f t="shared" si="2"/>
        <v>6</v>
      </c>
      <c r="G19" s="794">
        <f t="shared" si="3"/>
        <v>1</v>
      </c>
      <c r="H19" s="797" t="s">
        <v>39</v>
      </c>
      <c r="I19" s="798" t="s">
        <v>40</v>
      </c>
      <c r="J19" s="796"/>
    </row>
    <row r="20" spans="1:10" ht="21.9" customHeight="1" x14ac:dyDescent="0.35">
      <c r="A20" s="790"/>
      <c r="B20" s="791">
        <f>'FACTOR F'!B19</f>
        <v>30</v>
      </c>
      <c r="C20" s="792">
        <f>' อำนวยการ 1'!E18</f>
        <v>17</v>
      </c>
      <c r="D20" s="793">
        <f t="shared" si="0"/>
        <v>0</v>
      </c>
      <c r="E20" s="793">
        <f t="shared" si="1"/>
        <v>0</v>
      </c>
      <c r="F20" s="792">
        <f t="shared" si="2"/>
        <v>6</v>
      </c>
      <c r="G20" s="794">
        <f t="shared" si="3"/>
        <v>1</v>
      </c>
      <c r="J20" s="796"/>
    </row>
    <row r="21" spans="1:10" ht="21.9" customHeight="1" x14ac:dyDescent="0.35">
      <c r="A21" s="790"/>
      <c r="B21" s="791">
        <f>'FACTOR F'!B20</f>
        <v>40</v>
      </c>
      <c r="C21" s="792">
        <f>' อำนวยการ 1'!E19</f>
        <v>17</v>
      </c>
      <c r="D21" s="793">
        <f t="shared" si="0"/>
        <v>0</v>
      </c>
      <c r="E21" s="793">
        <f t="shared" si="1"/>
        <v>0</v>
      </c>
      <c r="F21" s="792">
        <f t="shared" si="2"/>
        <v>6</v>
      </c>
      <c r="G21" s="794">
        <f t="shared" si="3"/>
        <v>1</v>
      </c>
      <c r="J21" s="796"/>
    </row>
    <row r="22" spans="1:10" ht="21.9" customHeight="1" x14ac:dyDescent="0.35">
      <c r="A22" s="790"/>
      <c r="B22" s="791">
        <f>'FACTOR F'!B21</f>
        <v>50</v>
      </c>
      <c r="C22" s="792">
        <f>' อำนวยการ 1'!E20</f>
        <v>18</v>
      </c>
      <c r="D22" s="793">
        <f t="shared" si="0"/>
        <v>0</v>
      </c>
      <c r="E22" s="793">
        <f t="shared" si="1"/>
        <v>0</v>
      </c>
      <c r="F22" s="792">
        <f t="shared" si="2"/>
        <v>6</v>
      </c>
      <c r="G22" s="794">
        <f t="shared" si="3"/>
        <v>1</v>
      </c>
      <c r="J22" s="796"/>
    </row>
    <row r="23" spans="1:10" ht="21.9" customHeight="1" x14ac:dyDescent="0.35">
      <c r="A23" s="790"/>
      <c r="B23" s="791">
        <f>'FACTOR F'!B22</f>
        <v>60</v>
      </c>
      <c r="C23" s="792">
        <f>' อำนวยการ 1'!E21</f>
        <v>18</v>
      </c>
      <c r="D23" s="793">
        <f t="shared" si="0"/>
        <v>0</v>
      </c>
      <c r="E23" s="793">
        <f t="shared" si="1"/>
        <v>0</v>
      </c>
      <c r="F23" s="792">
        <f t="shared" si="2"/>
        <v>6</v>
      </c>
      <c r="G23" s="794">
        <f t="shared" si="3"/>
        <v>1</v>
      </c>
      <c r="J23" s="796"/>
    </row>
    <row r="24" spans="1:10" ht="21.9" customHeight="1" x14ac:dyDescent="0.35">
      <c r="A24" s="790"/>
      <c r="B24" s="791">
        <f>'FACTOR F'!B23</f>
        <v>70</v>
      </c>
      <c r="C24" s="792">
        <f>' อำนวยการ 1'!E22</f>
        <v>20</v>
      </c>
      <c r="D24" s="793">
        <f t="shared" si="0"/>
        <v>0</v>
      </c>
      <c r="E24" s="793">
        <f t="shared" si="1"/>
        <v>0</v>
      </c>
      <c r="F24" s="792">
        <f t="shared" si="2"/>
        <v>6</v>
      </c>
      <c r="G24" s="794">
        <f t="shared" si="3"/>
        <v>1</v>
      </c>
      <c r="J24" s="796"/>
    </row>
    <row r="25" spans="1:10" ht="21.9" customHeight="1" x14ac:dyDescent="0.35">
      <c r="A25" s="790"/>
      <c r="B25" s="791">
        <f>'FACTOR F'!B24</f>
        <v>80</v>
      </c>
      <c r="C25" s="792">
        <f>' อำนวยการ 1'!E23</f>
        <v>20</v>
      </c>
      <c r="D25" s="793">
        <f t="shared" si="0"/>
        <v>0</v>
      </c>
      <c r="E25" s="793">
        <f t="shared" si="1"/>
        <v>0</v>
      </c>
      <c r="F25" s="792">
        <f t="shared" si="2"/>
        <v>6</v>
      </c>
      <c r="G25" s="794">
        <f t="shared" si="3"/>
        <v>1</v>
      </c>
      <c r="J25" s="796"/>
    </row>
    <row r="26" spans="1:10" ht="21.9" customHeight="1" x14ac:dyDescent="0.35">
      <c r="A26" s="790"/>
      <c r="B26" s="791">
        <f>'FACTOR F'!B25</f>
        <v>90</v>
      </c>
      <c r="C26" s="792">
        <f>' อำนวยการ 1'!E24</f>
        <v>20</v>
      </c>
      <c r="D26" s="793">
        <f t="shared" si="0"/>
        <v>0</v>
      </c>
      <c r="E26" s="793">
        <f t="shared" si="1"/>
        <v>0</v>
      </c>
      <c r="F26" s="792">
        <f t="shared" si="2"/>
        <v>6</v>
      </c>
      <c r="G26" s="794">
        <f t="shared" si="3"/>
        <v>1</v>
      </c>
      <c r="J26" s="796"/>
    </row>
    <row r="27" spans="1:10" ht="21.9" customHeight="1" x14ac:dyDescent="0.35">
      <c r="A27" s="790"/>
      <c r="B27" s="791">
        <f>'FACTOR F'!B26</f>
        <v>100</v>
      </c>
      <c r="C27" s="792">
        <f>' อำนวยการ 1'!E25</f>
        <v>20</v>
      </c>
      <c r="D27" s="793">
        <f t="shared" si="0"/>
        <v>0</v>
      </c>
      <c r="E27" s="793">
        <f t="shared" si="1"/>
        <v>0</v>
      </c>
      <c r="F27" s="792">
        <f t="shared" si="2"/>
        <v>6</v>
      </c>
      <c r="G27" s="794">
        <f t="shared" si="3"/>
        <v>1</v>
      </c>
      <c r="J27" s="796"/>
    </row>
    <row r="28" spans="1:10" ht="21.9" customHeight="1" x14ac:dyDescent="0.35">
      <c r="A28" s="790"/>
      <c r="B28" s="791">
        <f>'FACTOR F'!B27</f>
        <v>150</v>
      </c>
      <c r="C28" s="792">
        <f>' อำนวยการ 1'!E26</f>
        <v>22</v>
      </c>
      <c r="D28" s="793">
        <f t="shared" si="0"/>
        <v>0</v>
      </c>
      <c r="E28" s="793">
        <f t="shared" si="1"/>
        <v>0</v>
      </c>
      <c r="F28" s="792">
        <f t="shared" si="2"/>
        <v>6</v>
      </c>
      <c r="G28" s="794">
        <f t="shared" si="3"/>
        <v>1</v>
      </c>
      <c r="J28" s="796"/>
    </row>
    <row r="29" spans="1:10" ht="21.9" customHeight="1" x14ac:dyDescent="0.35">
      <c r="A29" s="790"/>
      <c r="B29" s="791">
        <f>'FACTOR F'!B28</f>
        <v>200</v>
      </c>
      <c r="C29" s="792">
        <f>' อำนวยการ 1'!E27</f>
        <v>24</v>
      </c>
      <c r="D29" s="793">
        <f t="shared" si="0"/>
        <v>0</v>
      </c>
      <c r="E29" s="793">
        <f t="shared" si="1"/>
        <v>0</v>
      </c>
      <c r="F29" s="792">
        <f t="shared" si="2"/>
        <v>6</v>
      </c>
      <c r="G29" s="794">
        <f t="shared" si="3"/>
        <v>1</v>
      </c>
      <c r="J29" s="796"/>
    </row>
    <row r="30" spans="1:10" ht="21.9" customHeight="1" x14ac:dyDescent="0.35">
      <c r="A30" s="790"/>
      <c r="B30" s="791">
        <f>'FACTOR F'!B29</f>
        <v>250</v>
      </c>
      <c r="C30" s="792">
        <f>' อำนวยการ 1'!E28</f>
        <v>28</v>
      </c>
      <c r="D30" s="793">
        <f t="shared" si="0"/>
        <v>0</v>
      </c>
      <c r="E30" s="793">
        <f t="shared" si="1"/>
        <v>0</v>
      </c>
      <c r="F30" s="792">
        <f t="shared" si="2"/>
        <v>6</v>
      </c>
      <c r="G30" s="794">
        <f t="shared" si="3"/>
        <v>1</v>
      </c>
      <c r="J30" s="796"/>
    </row>
    <row r="31" spans="1:10" ht="21.9" customHeight="1" x14ac:dyDescent="0.35">
      <c r="A31" s="790"/>
      <c r="B31" s="791">
        <f>'FACTOR F'!B30</f>
        <v>300</v>
      </c>
      <c r="C31" s="792">
        <f>' อำนวยการ 1'!E29</f>
        <v>30</v>
      </c>
      <c r="D31" s="793">
        <f t="shared" si="0"/>
        <v>0</v>
      </c>
      <c r="E31" s="793">
        <f t="shared" si="1"/>
        <v>0</v>
      </c>
      <c r="F31" s="792">
        <f t="shared" si="2"/>
        <v>6</v>
      </c>
      <c r="G31" s="794">
        <f t="shared" si="3"/>
        <v>1</v>
      </c>
      <c r="J31" s="796"/>
    </row>
    <row r="32" spans="1:10" ht="21.9" customHeight="1" x14ac:dyDescent="0.35">
      <c r="A32" s="790"/>
      <c r="B32" s="791">
        <f>'FACTOR F'!B31</f>
        <v>350</v>
      </c>
      <c r="C32" s="792">
        <f>' อำนวยการ 1'!E30</f>
        <v>32</v>
      </c>
      <c r="D32" s="793">
        <f t="shared" si="0"/>
        <v>0</v>
      </c>
      <c r="E32" s="793">
        <f t="shared" si="1"/>
        <v>0</v>
      </c>
      <c r="F32" s="792">
        <f t="shared" si="2"/>
        <v>6</v>
      </c>
      <c r="G32" s="794">
        <f t="shared" si="3"/>
        <v>1</v>
      </c>
      <c r="J32" s="796"/>
    </row>
    <row r="33" spans="1:10" ht="21.9" customHeight="1" x14ac:dyDescent="0.35">
      <c r="A33" s="790"/>
      <c r="B33" s="791">
        <f>'FACTOR F'!B32</f>
        <v>400</v>
      </c>
      <c r="C33" s="792">
        <f>' อำนวยการ 1'!E31</f>
        <v>36</v>
      </c>
      <c r="D33" s="793">
        <f t="shared" si="0"/>
        <v>0</v>
      </c>
      <c r="E33" s="793">
        <f t="shared" si="1"/>
        <v>0</v>
      </c>
      <c r="F33" s="792">
        <f t="shared" si="2"/>
        <v>6</v>
      </c>
      <c r="G33" s="794">
        <f t="shared" si="3"/>
        <v>1</v>
      </c>
      <c r="J33" s="796"/>
    </row>
    <row r="34" spans="1:10" ht="21.9" customHeight="1" x14ac:dyDescent="0.35">
      <c r="A34" s="790"/>
      <c r="B34" s="791">
        <f>'FACTOR F'!B33</f>
        <v>500</v>
      </c>
      <c r="C34" s="792">
        <f>' อำนวยการ 1'!E32</f>
        <v>36</v>
      </c>
      <c r="D34" s="793">
        <f t="shared" si="0"/>
        <v>0</v>
      </c>
      <c r="E34" s="793">
        <f t="shared" si="1"/>
        <v>0</v>
      </c>
      <c r="F34" s="792">
        <f t="shared" si="2"/>
        <v>6</v>
      </c>
      <c r="G34" s="794">
        <f t="shared" si="3"/>
        <v>1</v>
      </c>
      <c r="J34" s="796"/>
    </row>
    <row r="35" spans="1:10" ht="21.9" customHeight="1" x14ac:dyDescent="0.35">
      <c r="A35" s="799" t="s">
        <v>268</v>
      </c>
      <c r="B35" s="800">
        <f>'FACTOR F'!B34</f>
        <v>500</v>
      </c>
      <c r="C35" s="801">
        <f>' อำนวยการ 1'!E33</f>
        <v>40</v>
      </c>
      <c r="D35" s="802">
        <f t="shared" si="0"/>
        <v>0</v>
      </c>
      <c r="E35" s="802">
        <f t="shared" si="1"/>
        <v>0</v>
      </c>
      <c r="F35" s="801">
        <f t="shared" si="2"/>
        <v>6</v>
      </c>
      <c r="G35" s="803">
        <f t="shared" si="3"/>
        <v>1</v>
      </c>
      <c r="H35" s="804"/>
      <c r="I35" s="804"/>
      <c r="J35" s="805"/>
    </row>
    <row r="36" spans="1:10" ht="18" customHeight="1" x14ac:dyDescent="0.35"/>
    <row r="37" spans="1:10" ht="18" customHeight="1" x14ac:dyDescent="0.35"/>
    <row r="38" spans="1:10" ht="18" customHeight="1" x14ac:dyDescent="0.35"/>
    <row r="39" spans="1:10" ht="21.75" customHeight="1" x14ac:dyDescent="0.35">
      <c r="A39" s="759" t="s">
        <v>41</v>
      </c>
      <c r="B39" s="759"/>
      <c r="C39" s="759"/>
      <c r="D39" s="759"/>
      <c r="E39" s="759"/>
      <c r="F39" s="759"/>
      <c r="G39" s="759"/>
      <c r="H39" s="759"/>
      <c r="I39" s="759"/>
      <c r="J39" s="759"/>
    </row>
    <row r="40" spans="1:10" ht="21.75" customHeight="1" x14ac:dyDescent="0.35">
      <c r="A40" s="761"/>
      <c r="B40" s="761"/>
      <c r="C40" s="761"/>
      <c r="D40" s="761"/>
      <c r="E40" s="761"/>
      <c r="F40" s="761"/>
      <c r="G40" s="761"/>
      <c r="H40" s="761"/>
      <c r="I40" s="761"/>
      <c r="J40" s="761"/>
    </row>
    <row r="41" spans="1:10" ht="22.8" x14ac:dyDescent="0.4">
      <c r="A41" s="762" t="s">
        <v>42</v>
      </c>
      <c r="B41" s="762"/>
      <c r="C41" s="762"/>
      <c r="D41" s="762"/>
      <c r="E41" s="762"/>
      <c r="F41" s="762"/>
      <c r="G41" s="762"/>
      <c r="H41" s="762"/>
      <c r="I41" s="762"/>
      <c r="J41" s="762"/>
    </row>
    <row r="42" spans="1:10" ht="21.75" customHeight="1" x14ac:dyDescent="0.4">
      <c r="A42" s="763"/>
      <c r="B42" s="763"/>
      <c r="C42" s="763"/>
      <c r="D42" s="763"/>
      <c r="E42" s="763"/>
      <c r="F42" s="763"/>
      <c r="G42" s="763"/>
      <c r="H42" s="763"/>
      <c r="I42" s="763"/>
      <c r="J42" s="763"/>
    </row>
    <row r="43" spans="1:10" x14ac:dyDescent="0.35">
      <c r="B43" s="760" t="s">
        <v>43</v>
      </c>
      <c r="F43" s="760">
        <v>0</v>
      </c>
      <c r="G43" s="760" t="s">
        <v>44</v>
      </c>
    </row>
    <row r="44" spans="1:10" x14ac:dyDescent="0.35">
      <c r="B44" s="760" t="s">
        <v>45</v>
      </c>
      <c r="F44" s="760">
        <v>0</v>
      </c>
      <c r="G44" s="760" t="s">
        <v>46</v>
      </c>
    </row>
    <row r="46" spans="1:10" x14ac:dyDescent="0.35">
      <c r="A46" s="766" t="s">
        <v>478</v>
      </c>
      <c r="B46" s="767"/>
      <c r="C46" s="766" t="s">
        <v>47</v>
      </c>
      <c r="D46" s="767"/>
      <c r="E46" s="766" t="s">
        <v>48</v>
      </c>
      <c r="F46" s="767"/>
      <c r="G46" s="766" t="s">
        <v>49</v>
      </c>
      <c r="H46" s="767"/>
      <c r="I46" s="769" t="s">
        <v>761</v>
      </c>
      <c r="J46" s="771"/>
    </row>
    <row r="47" spans="1:10" x14ac:dyDescent="0.35">
      <c r="A47" s="778" t="s">
        <v>660</v>
      </c>
      <c r="B47" s="779"/>
      <c r="C47" s="778" t="s">
        <v>650</v>
      </c>
      <c r="D47" s="779"/>
      <c r="E47" s="778" t="s">
        <v>650</v>
      </c>
      <c r="F47" s="779"/>
      <c r="G47" s="778" t="s">
        <v>650</v>
      </c>
      <c r="H47" s="779"/>
      <c r="I47" s="806"/>
      <c r="J47" s="807"/>
    </row>
    <row r="48" spans="1:10" ht="21.75" customHeight="1" x14ac:dyDescent="0.35">
      <c r="A48" s="808" t="s">
        <v>267</v>
      </c>
      <c r="B48" s="785">
        <f>'FACTOR F'!B11</f>
        <v>0.5</v>
      </c>
      <c r="C48" s="809">
        <f t="shared" ref="C48:C71" si="4">$F$43/4</f>
        <v>0</v>
      </c>
      <c r="D48" s="810"/>
      <c r="E48" s="809">
        <v>5.5</v>
      </c>
      <c r="F48" s="810"/>
      <c r="G48" s="811">
        <f t="shared" ref="G48:G71" si="5">C48+E48</f>
        <v>5.5</v>
      </c>
      <c r="H48" s="812"/>
      <c r="I48" s="813"/>
      <c r="J48" s="814"/>
    </row>
    <row r="49" spans="1:10" ht="21.75" customHeight="1" x14ac:dyDescent="0.35">
      <c r="A49" s="790"/>
      <c r="B49" s="791">
        <f>'FACTOR F'!B12</f>
        <v>1</v>
      </c>
      <c r="C49" s="815">
        <f t="shared" si="4"/>
        <v>0</v>
      </c>
      <c r="D49" s="816"/>
      <c r="E49" s="815">
        <v>5.5</v>
      </c>
      <c r="F49" s="816"/>
      <c r="G49" s="817">
        <f t="shared" si="5"/>
        <v>5.5</v>
      </c>
      <c r="H49" s="818"/>
      <c r="I49" s="819"/>
      <c r="J49" s="820"/>
    </row>
    <row r="50" spans="1:10" ht="21.75" customHeight="1" x14ac:dyDescent="0.35">
      <c r="A50" s="790"/>
      <c r="B50" s="791">
        <f>'FACTOR F'!B13</f>
        <v>2</v>
      </c>
      <c r="C50" s="815">
        <f t="shared" si="4"/>
        <v>0</v>
      </c>
      <c r="D50" s="816"/>
      <c r="E50" s="815">
        <v>5.5</v>
      </c>
      <c r="F50" s="816"/>
      <c r="G50" s="817">
        <f t="shared" si="5"/>
        <v>5.5</v>
      </c>
      <c r="H50" s="818"/>
      <c r="I50" s="819"/>
      <c r="J50" s="820"/>
    </row>
    <row r="51" spans="1:10" ht="21.75" customHeight="1" x14ac:dyDescent="0.35">
      <c r="A51" s="790"/>
      <c r="B51" s="791">
        <f>'FACTOR F'!B14</f>
        <v>5</v>
      </c>
      <c r="C51" s="815">
        <f t="shared" si="4"/>
        <v>0</v>
      </c>
      <c r="D51" s="816"/>
      <c r="E51" s="815">
        <v>5.5</v>
      </c>
      <c r="F51" s="816"/>
      <c r="G51" s="817">
        <f t="shared" si="5"/>
        <v>5.5</v>
      </c>
      <c r="H51" s="818"/>
      <c r="I51" s="819"/>
      <c r="J51" s="820"/>
    </row>
    <row r="52" spans="1:10" ht="21.75" customHeight="1" x14ac:dyDescent="0.35">
      <c r="A52" s="790"/>
      <c r="B52" s="791">
        <f>'FACTOR F'!B15</f>
        <v>10</v>
      </c>
      <c r="C52" s="815">
        <f t="shared" si="4"/>
        <v>0</v>
      </c>
      <c r="D52" s="816"/>
      <c r="E52" s="815">
        <v>5</v>
      </c>
      <c r="F52" s="816"/>
      <c r="G52" s="817">
        <f t="shared" si="5"/>
        <v>5</v>
      </c>
      <c r="H52" s="818"/>
      <c r="I52" s="819"/>
      <c r="J52" s="820"/>
    </row>
    <row r="53" spans="1:10" ht="21.75" customHeight="1" x14ac:dyDescent="0.35">
      <c r="A53" s="790"/>
      <c r="B53" s="791">
        <f>'FACTOR F'!B16</f>
        <v>15</v>
      </c>
      <c r="C53" s="815">
        <f t="shared" si="4"/>
        <v>0</v>
      </c>
      <c r="D53" s="816"/>
      <c r="E53" s="815">
        <v>5</v>
      </c>
      <c r="F53" s="816"/>
      <c r="G53" s="817">
        <f t="shared" si="5"/>
        <v>5</v>
      </c>
      <c r="H53" s="818"/>
      <c r="I53" s="819"/>
      <c r="J53" s="820"/>
    </row>
    <row r="54" spans="1:10" ht="21.75" customHeight="1" x14ac:dyDescent="0.35">
      <c r="A54" s="790"/>
      <c r="B54" s="791">
        <f>'FACTOR F'!B17</f>
        <v>20</v>
      </c>
      <c r="C54" s="815">
        <f t="shared" si="4"/>
        <v>0</v>
      </c>
      <c r="D54" s="816"/>
      <c r="E54" s="815">
        <v>5</v>
      </c>
      <c r="F54" s="816"/>
      <c r="G54" s="817">
        <f t="shared" si="5"/>
        <v>5</v>
      </c>
      <c r="H54" s="818"/>
      <c r="I54" s="819"/>
      <c r="J54" s="820"/>
    </row>
    <row r="55" spans="1:10" ht="21.75" customHeight="1" x14ac:dyDescent="0.35">
      <c r="A55" s="790"/>
      <c r="B55" s="791">
        <f>'FACTOR F'!B18</f>
        <v>25</v>
      </c>
      <c r="C55" s="815">
        <f t="shared" si="4"/>
        <v>0</v>
      </c>
      <c r="D55" s="816"/>
      <c r="E55" s="815">
        <v>4.5</v>
      </c>
      <c r="F55" s="816"/>
      <c r="G55" s="817">
        <f t="shared" si="5"/>
        <v>4.5</v>
      </c>
      <c r="H55" s="818"/>
      <c r="I55" s="819"/>
      <c r="J55" s="820"/>
    </row>
    <row r="56" spans="1:10" ht="21.75" customHeight="1" x14ac:dyDescent="0.35">
      <c r="A56" s="790"/>
      <c r="B56" s="791">
        <f>'FACTOR F'!B19</f>
        <v>30</v>
      </c>
      <c r="C56" s="815">
        <f t="shared" si="4"/>
        <v>0</v>
      </c>
      <c r="D56" s="816"/>
      <c r="E56" s="815">
        <v>4.5</v>
      </c>
      <c r="F56" s="816"/>
      <c r="G56" s="817">
        <f t="shared" si="5"/>
        <v>4.5</v>
      </c>
      <c r="H56" s="818"/>
      <c r="I56" s="819"/>
      <c r="J56" s="820"/>
    </row>
    <row r="57" spans="1:10" ht="21.75" customHeight="1" x14ac:dyDescent="0.35">
      <c r="A57" s="790"/>
      <c r="B57" s="791">
        <f>'FACTOR F'!B20</f>
        <v>40</v>
      </c>
      <c r="C57" s="815">
        <f t="shared" si="4"/>
        <v>0</v>
      </c>
      <c r="D57" s="816"/>
      <c r="E57" s="815">
        <v>4.5</v>
      </c>
      <c r="F57" s="816"/>
      <c r="G57" s="817">
        <f t="shared" si="5"/>
        <v>4.5</v>
      </c>
      <c r="H57" s="818"/>
      <c r="I57" s="819"/>
      <c r="J57" s="820"/>
    </row>
    <row r="58" spans="1:10" ht="21.75" customHeight="1" x14ac:dyDescent="0.35">
      <c r="A58" s="790"/>
      <c r="B58" s="791">
        <f>'FACTOR F'!B21</f>
        <v>50</v>
      </c>
      <c r="C58" s="815">
        <f t="shared" si="4"/>
        <v>0</v>
      </c>
      <c r="D58" s="816"/>
      <c r="E58" s="815">
        <v>4.5</v>
      </c>
      <c r="F58" s="816"/>
      <c r="G58" s="817">
        <f t="shared" si="5"/>
        <v>4.5</v>
      </c>
      <c r="H58" s="818"/>
      <c r="I58" s="819"/>
      <c r="J58" s="820"/>
    </row>
    <row r="59" spans="1:10" ht="21.75" customHeight="1" x14ac:dyDescent="0.35">
      <c r="A59" s="790"/>
      <c r="B59" s="791">
        <f>'FACTOR F'!B22</f>
        <v>60</v>
      </c>
      <c r="C59" s="815">
        <f t="shared" si="4"/>
        <v>0</v>
      </c>
      <c r="D59" s="816"/>
      <c r="E59" s="815">
        <v>4</v>
      </c>
      <c r="F59" s="816"/>
      <c r="G59" s="817">
        <f t="shared" si="5"/>
        <v>4</v>
      </c>
      <c r="H59" s="818"/>
      <c r="I59" s="819"/>
      <c r="J59" s="820"/>
    </row>
    <row r="60" spans="1:10" ht="21.75" customHeight="1" x14ac:dyDescent="0.35">
      <c r="A60" s="790"/>
      <c r="B60" s="791">
        <f>'FACTOR F'!B23</f>
        <v>70</v>
      </c>
      <c r="C60" s="815">
        <f t="shared" si="4"/>
        <v>0</v>
      </c>
      <c r="D60" s="816"/>
      <c r="E60" s="815">
        <v>4</v>
      </c>
      <c r="F60" s="816"/>
      <c r="G60" s="817">
        <f t="shared" si="5"/>
        <v>4</v>
      </c>
      <c r="H60" s="818"/>
      <c r="I60" s="819"/>
      <c r="J60" s="820"/>
    </row>
    <row r="61" spans="1:10" ht="21.75" customHeight="1" x14ac:dyDescent="0.35">
      <c r="A61" s="790"/>
      <c r="B61" s="791">
        <f>'FACTOR F'!B24</f>
        <v>80</v>
      </c>
      <c r="C61" s="815">
        <f t="shared" si="4"/>
        <v>0</v>
      </c>
      <c r="D61" s="816"/>
      <c r="E61" s="815">
        <v>4</v>
      </c>
      <c r="F61" s="816"/>
      <c r="G61" s="817">
        <f t="shared" si="5"/>
        <v>4</v>
      </c>
      <c r="H61" s="818"/>
      <c r="I61" s="819"/>
      <c r="J61" s="820"/>
    </row>
    <row r="62" spans="1:10" ht="21.75" customHeight="1" x14ac:dyDescent="0.35">
      <c r="A62" s="790"/>
      <c r="B62" s="791">
        <f>'FACTOR F'!B25</f>
        <v>90</v>
      </c>
      <c r="C62" s="815">
        <f t="shared" si="4"/>
        <v>0</v>
      </c>
      <c r="D62" s="816"/>
      <c r="E62" s="815">
        <v>4</v>
      </c>
      <c r="F62" s="816"/>
      <c r="G62" s="817">
        <f t="shared" si="5"/>
        <v>4</v>
      </c>
      <c r="H62" s="818"/>
      <c r="I62" s="819"/>
      <c r="J62" s="820"/>
    </row>
    <row r="63" spans="1:10" ht="21.75" customHeight="1" x14ac:dyDescent="0.35">
      <c r="A63" s="790"/>
      <c r="B63" s="791">
        <f>'FACTOR F'!B26</f>
        <v>100</v>
      </c>
      <c r="C63" s="815">
        <f t="shared" si="4"/>
        <v>0</v>
      </c>
      <c r="D63" s="816"/>
      <c r="E63" s="815">
        <v>4</v>
      </c>
      <c r="F63" s="816"/>
      <c r="G63" s="817">
        <f t="shared" si="5"/>
        <v>4</v>
      </c>
      <c r="H63" s="818"/>
      <c r="I63" s="819"/>
      <c r="J63" s="820"/>
    </row>
    <row r="64" spans="1:10" ht="21.75" customHeight="1" x14ac:dyDescent="0.35">
      <c r="A64" s="790"/>
      <c r="B64" s="791">
        <f>'FACTOR F'!B27</f>
        <v>150</v>
      </c>
      <c r="C64" s="815">
        <f t="shared" si="4"/>
        <v>0</v>
      </c>
      <c r="D64" s="816"/>
      <c r="E64" s="815">
        <v>4</v>
      </c>
      <c r="F64" s="816"/>
      <c r="G64" s="817">
        <f t="shared" si="5"/>
        <v>4</v>
      </c>
      <c r="H64" s="818"/>
      <c r="I64" s="819"/>
      <c r="J64" s="820"/>
    </row>
    <row r="65" spans="1:10" ht="21.75" customHeight="1" x14ac:dyDescent="0.35">
      <c r="A65" s="790"/>
      <c r="B65" s="791">
        <f>'FACTOR F'!B28</f>
        <v>200</v>
      </c>
      <c r="C65" s="815">
        <f t="shared" si="4"/>
        <v>0</v>
      </c>
      <c r="D65" s="816"/>
      <c r="E65" s="815">
        <v>4</v>
      </c>
      <c r="F65" s="816"/>
      <c r="G65" s="817">
        <f t="shared" si="5"/>
        <v>4</v>
      </c>
      <c r="H65" s="818"/>
      <c r="I65" s="819"/>
      <c r="J65" s="820"/>
    </row>
    <row r="66" spans="1:10" ht="21.75" customHeight="1" x14ac:dyDescent="0.35">
      <c r="A66" s="790"/>
      <c r="B66" s="791">
        <f>'FACTOR F'!B29</f>
        <v>250</v>
      </c>
      <c r="C66" s="815">
        <f t="shared" si="4"/>
        <v>0</v>
      </c>
      <c r="D66" s="816"/>
      <c r="E66" s="815">
        <v>4</v>
      </c>
      <c r="F66" s="816"/>
      <c r="G66" s="817">
        <f t="shared" si="5"/>
        <v>4</v>
      </c>
      <c r="H66" s="818"/>
      <c r="I66" s="819"/>
      <c r="J66" s="820"/>
    </row>
    <row r="67" spans="1:10" ht="21.75" customHeight="1" x14ac:dyDescent="0.35">
      <c r="A67" s="790"/>
      <c r="B67" s="791">
        <f>'FACTOR F'!B30</f>
        <v>300</v>
      </c>
      <c r="C67" s="815">
        <f t="shared" si="4"/>
        <v>0</v>
      </c>
      <c r="D67" s="816"/>
      <c r="E67" s="815">
        <v>3.5</v>
      </c>
      <c r="F67" s="816"/>
      <c r="G67" s="817">
        <f t="shared" si="5"/>
        <v>3.5</v>
      </c>
      <c r="H67" s="818"/>
      <c r="I67" s="819"/>
      <c r="J67" s="820"/>
    </row>
    <row r="68" spans="1:10" ht="21.75" customHeight="1" x14ac:dyDescent="0.35">
      <c r="A68" s="790"/>
      <c r="B68" s="791">
        <f>'FACTOR F'!B31</f>
        <v>350</v>
      </c>
      <c r="C68" s="815">
        <f t="shared" si="4"/>
        <v>0</v>
      </c>
      <c r="D68" s="816"/>
      <c r="E68" s="815">
        <v>3.5</v>
      </c>
      <c r="F68" s="816"/>
      <c r="G68" s="817">
        <f t="shared" si="5"/>
        <v>3.5</v>
      </c>
      <c r="H68" s="818"/>
      <c r="I68" s="819"/>
      <c r="J68" s="820"/>
    </row>
    <row r="69" spans="1:10" ht="21.75" customHeight="1" x14ac:dyDescent="0.35">
      <c r="A69" s="790"/>
      <c r="B69" s="791">
        <f>'FACTOR F'!B32</f>
        <v>400</v>
      </c>
      <c r="C69" s="815">
        <f t="shared" si="4"/>
        <v>0</v>
      </c>
      <c r="D69" s="816"/>
      <c r="E69" s="815">
        <v>3.5</v>
      </c>
      <c r="F69" s="816"/>
      <c r="G69" s="817">
        <f t="shared" si="5"/>
        <v>3.5</v>
      </c>
      <c r="H69" s="818"/>
      <c r="I69" s="819"/>
      <c r="J69" s="820"/>
    </row>
    <row r="70" spans="1:10" ht="21.75" customHeight="1" x14ac:dyDescent="0.35">
      <c r="A70" s="790"/>
      <c r="B70" s="791">
        <f>'FACTOR F'!B33</f>
        <v>500</v>
      </c>
      <c r="C70" s="815">
        <f t="shared" si="4"/>
        <v>0</v>
      </c>
      <c r="D70" s="816"/>
      <c r="E70" s="815">
        <v>3.5</v>
      </c>
      <c r="F70" s="816"/>
      <c r="G70" s="817">
        <f t="shared" si="5"/>
        <v>3.5</v>
      </c>
      <c r="H70" s="818"/>
      <c r="I70" s="819"/>
      <c r="J70" s="820"/>
    </row>
    <row r="71" spans="1:10" ht="21.75" customHeight="1" x14ac:dyDescent="0.35">
      <c r="A71" s="799" t="s">
        <v>268</v>
      </c>
      <c r="B71" s="800">
        <f>'FACTOR F'!B34</f>
        <v>500</v>
      </c>
      <c r="C71" s="821">
        <f t="shared" si="4"/>
        <v>0</v>
      </c>
      <c r="D71" s="822"/>
      <c r="E71" s="821">
        <v>3.5</v>
      </c>
      <c r="F71" s="822"/>
      <c r="G71" s="823">
        <f t="shared" si="5"/>
        <v>3.5</v>
      </c>
      <c r="H71" s="824"/>
      <c r="I71" s="825"/>
      <c r="J71" s="826"/>
    </row>
    <row r="72" spans="1:10" ht="21.75" customHeight="1" x14ac:dyDescent="0.35"/>
    <row r="73" spans="1:10" ht="21.75" customHeight="1" x14ac:dyDescent="0.35"/>
    <row r="74" spans="1:10" ht="21.75" customHeight="1" x14ac:dyDescent="0.35"/>
    <row r="75" spans="1:10" ht="21.75" customHeight="1" x14ac:dyDescent="0.35"/>
    <row r="76" spans="1:10" ht="21.75" customHeight="1" x14ac:dyDescent="0.35"/>
    <row r="77" spans="1:10" ht="21.75" customHeight="1" x14ac:dyDescent="0.35"/>
    <row r="78" spans="1:10" ht="21.75" customHeight="1" x14ac:dyDescent="0.35"/>
    <row r="79" spans="1:10" ht="21.75" customHeight="1" x14ac:dyDescent="0.35"/>
    <row r="80" spans="1:10" ht="21.75" customHeight="1" x14ac:dyDescent="0.35"/>
    <row r="81" spans="2:2" ht="21.75" customHeight="1" x14ac:dyDescent="0.35"/>
    <row r="82" spans="2:2" ht="21.75" customHeight="1" x14ac:dyDescent="0.35"/>
    <row r="83" spans="2:2" ht="21.75" customHeight="1" x14ac:dyDescent="0.35"/>
    <row r="84" spans="2:2" x14ac:dyDescent="0.35">
      <c r="B84" s="827"/>
    </row>
    <row r="85" spans="2:2" x14ac:dyDescent="0.35">
      <c r="B85" s="827"/>
    </row>
    <row r="86" spans="2:2" x14ac:dyDescent="0.35">
      <c r="B86" s="827"/>
    </row>
    <row r="87" spans="2:2" x14ac:dyDescent="0.35">
      <c r="B87" s="827"/>
    </row>
    <row r="88" spans="2:2" x14ac:dyDescent="0.35">
      <c r="B88" s="827"/>
    </row>
    <row r="89" spans="2:2" x14ac:dyDescent="0.35">
      <c r="B89" s="827"/>
    </row>
    <row r="90" spans="2:2" x14ac:dyDescent="0.35">
      <c r="B90" s="827"/>
    </row>
    <row r="91" spans="2:2" x14ac:dyDescent="0.35">
      <c r="B91" s="827"/>
    </row>
    <row r="92" spans="2:2" x14ac:dyDescent="0.35">
      <c r="B92" s="827"/>
    </row>
    <row r="93" spans="2:2" x14ac:dyDescent="0.35">
      <c r="B93" s="827"/>
    </row>
    <row r="94" spans="2:2" x14ac:dyDescent="0.35">
      <c r="B94" s="827"/>
    </row>
    <row r="95" spans="2:2" x14ac:dyDescent="0.35">
      <c r="B95" s="827"/>
    </row>
    <row r="96" spans="2:2" x14ac:dyDescent="0.35">
      <c r="B96" s="827"/>
    </row>
    <row r="97" spans="2:2" x14ac:dyDescent="0.35">
      <c r="B97" s="827"/>
    </row>
  </sheetData>
  <phoneticPr fontId="27" type="noConversion"/>
  <pageMargins left="0.76" right="0.31" top="0.52" bottom="0.37" header="0.19685039370078741" footer="0.19685039370078741"/>
  <pageSetup paperSize="9" orientation="portrait" horizontalDpi="4294967293" verticalDpi="300" r:id="rId1"/>
  <headerFooter alignWithMargins="0">
    <oddFooter>&amp;R&amp;10งานก่อสร้างทาง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34</vt:i4>
      </vt:variant>
      <vt:variant>
        <vt:lpstr>ช่วงที่มีชื่อ</vt:lpstr>
      </vt:variant>
      <vt:variant>
        <vt:i4>30</vt:i4>
      </vt:variant>
    </vt:vector>
  </HeadingPairs>
  <TitlesOfParts>
    <vt:vector size="64" baseType="lpstr">
      <vt:lpstr>ปกงวด</vt:lpstr>
      <vt:lpstr>งวดงาน</vt:lpstr>
      <vt:lpstr>งวดงาน ส</vt:lpstr>
      <vt:lpstr>ค่า K</vt:lpstr>
      <vt:lpstr>ปกเฉพาะ</vt:lpstr>
      <vt:lpstr>เฉพาะแห่ง</vt:lpstr>
      <vt:lpstr>ปกราคา</vt:lpstr>
      <vt:lpstr>แบบ ปร.5</vt:lpstr>
      <vt:lpstr>แบบ ปร.6</vt:lpstr>
      <vt:lpstr>ปร.6</vt:lpstr>
      <vt:lpstr>ปร.5</vt:lpstr>
      <vt:lpstr>ปร.5 (2)</vt:lpstr>
      <vt:lpstr>ปร.5-2</vt:lpstr>
      <vt:lpstr>921001</vt:lpstr>
      <vt:lpstr>รั้ว</vt:lpstr>
      <vt:lpstr>911043</vt:lpstr>
      <vt:lpstr>ประสานปากบ่อ</vt:lpstr>
      <vt:lpstr>งานดิน</vt:lpstr>
      <vt:lpstr>ทดสอบดิน</vt:lpstr>
      <vt:lpstr>ไฟฟ้าใน</vt:lpstr>
      <vt:lpstr>บ่อบาดาล </vt:lpstr>
      <vt:lpstr>สบน.10-1007</vt:lpstr>
      <vt:lpstr>สบจ.10-2015</vt:lpstr>
      <vt:lpstr>ท่อส่งน้ำดิบ</vt:lpstr>
      <vt:lpstr>ท่อจ่ายน้ำ</vt:lpstr>
      <vt:lpstr>เครื่องสูบน้ำบาดาล</vt:lpstr>
      <vt:lpstr>ไฟฟ้า</vt:lpstr>
      <vt:lpstr>เครื่องมือฯประปา</vt:lpstr>
      <vt:lpstr>กรด-ด่าง</vt:lpstr>
      <vt:lpstr>ไฟฟ้านอก</vt:lpstr>
      <vt:lpstr>FACTOR F</vt:lpstr>
      <vt:lpstr> อำนวยการ 1</vt:lpstr>
      <vt:lpstr>ดอกเบี้ย,กำไร</vt:lpstr>
      <vt:lpstr>Sheet1</vt:lpstr>
      <vt:lpstr>'911043'!Print_Area</vt:lpstr>
      <vt:lpstr>'921001'!Print_Area</vt:lpstr>
      <vt:lpstr>'กรด-ด่าง'!Print_Area</vt:lpstr>
      <vt:lpstr>เครื่องมือฯประปา!Print_Area</vt:lpstr>
      <vt:lpstr>เครื่องสูบน้ำบาดาล!Print_Area</vt:lpstr>
      <vt:lpstr>งานดิน!Print_Area</vt:lpstr>
      <vt:lpstr>เฉพาะแห่ง!Print_Area</vt:lpstr>
      <vt:lpstr>ทดสอบดิน!Print_Area</vt:lpstr>
      <vt:lpstr>ท่อจ่ายน้ำ!Print_Area</vt:lpstr>
      <vt:lpstr>ท่อส่งน้ำดิบ!Print_Area</vt:lpstr>
      <vt:lpstr>'บ่อบาดาล '!Print_Area</vt:lpstr>
      <vt:lpstr>'แบบ ปร.5'!Print_Area</vt:lpstr>
      <vt:lpstr>ปร.5!Print_Area</vt:lpstr>
      <vt:lpstr>'ปร.5 (2)'!Print_Area</vt:lpstr>
      <vt:lpstr>'ปร.5-2'!Print_Area</vt:lpstr>
      <vt:lpstr>ประสานปากบ่อ!Print_Area</vt:lpstr>
      <vt:lpstr>ไฟฟ้านอก!Print_Area</vt:lpstr>
      <vt:lpstr>ไฟฟ้าใน!Print_Area</vt:lpstr>
      <vt:lpstr>รั้ว!Print_Area</vt:lpstr>
      <vt:lpstr>'สบจ.10-2015'!Print_Area</vt:lpstr>
      <vt:lpstr>'สบน.10-1007'!Print_Area</vt:lpstr>
      <vt:lpstr>'911043'!Print_Titles</vt:lpstr>
      <vt:lpstr>'921001'!Print_Titles</vt:lpstr>
      <vt:lpstr>'กรด-ด่าง'!Print_Titles</vt:lpstr>
      <vt:lpstr>ทดสอบดิน!Print_Titles</vt:lpstr>
      <vt:lpstr>ท่อจ่ายน้ำ!Print_Titles</vt:lpstr>
      <vt:lpstr>ท่อส่งน้ำดิบ!Print_Titles</vt:lpstr>
      <vt:lpstr>รั้ว!Print_Titles</vt:lpstr>
      <vt:lpstr>'สบจ.10-2015'!Print_Titles</vt:lpstr>
      <vt:lpstr>'สบน.10-1007'!Print_Titles</vt:lpstr>
    </vt:vector>
  </TitlesOfParts>
  <Company>Rural Water Supply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PRASIRT</dc:creator>
  <cp:lastModifiedBy>1</cp:lastModifiedBy>
  <cp:lastPrinted>2025-12-11T03:57:34Z</cp:lastPrinted>
  <dcterms:created xsi:type="dcterms:W3CDTF">1998-09-08T09:15:46Z</dcterms:created>
  <dcterms:modified xsi:type="dcterms:W3CDTF">2025-12-11T04:17:17Z</dcterms:modified>
</cp:coreProperties>
</file>